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40" windowHeight="7350" tabRatio="534" activeTab="0"/>
  </bookViews>
  <sheets>
    <sheet name="DVC Analysis" sheetId="1" r:id="rId1"/>
    <sheet name="Amort Tables" sheetId="2" r:id="rId2"/>
    <sheet name="DVC Resort Info" sheetId="3" r:id="rId3"/>
  </sheets>
  <definedNames>
    <definedName name="Beginning_balance">'Amort Tables'!$C$10:$C$372</definedName>
    <definedName name="Effective_Average_Inflation_Factor">'DVC Analysis'!$F$14</definedName>
    <definedName name="Interest">'Amort Tables'!$D$10:$D$372</definedName>
    <definedName name="no_of_payments">'DVC Analysis'!$C$16</definedName>
    <definedName name="Payment">'DVC Analysis'!$C$20</definedName>
    <definedName name="Period">'DVC Analysis'!$C$15</definedName>
    <definedName name="Principal">'DVC Analysis'!$C$12</definedName>
    <definedName name="_xlnm.Print_Area" localSheetId="0">'DVC Analysis'!$A$2:$G$30</definedName>
    <definedName name="_xlnm.Print_Area" localSheetId="2">'DVC Resort Info'!$A$1:$M$99</definedName>
    <definedName name="Private_Mortgage_Insurance">'DVC Analysis'!#REF!</definedName>
    <definedName name="Rate">'DVC Analysis'!$C$13</definedName>
  </definedNames>
  <calcPr fullCalcOnLoad="1"/>
</workbook>
</file>

<file path=xl/sharedStrings.xml><?xml version="1.0" encoding="utf-8"?>
<sst xmlns="http://schemas.openxmlformats.org/spreadsheetml/2006/main" count="258" uniqueCount="131">
  <si>
    <t>Sale Price</t>
  </si>
  <si>
    <t>Loan Amt</t>
  </si>
  <si>
    <t>Interest Rate</t>
  </si>
  <si>
    <t>Loan Payment</t>
  </si>
  <si>
    <t>Payment</t>
  </si>
  <si>
    <t>Beginning</t>
  </si>
  <si>
    <t>Mortgage</t>
  </si>
  <si>
    <t>Ending</t>
  </si>
  <si>
    <t>Cumulative</t>
  </si>
  <si>
    <t>Number</t>
  </si>
  <si>
    <t>Balance</t>
  </si>
  <si>
    <t>Interest</t>
  </si>
  <si>
    <t>Principal</t>
  </si>
  <si>
    <t>DVC Mortgage Loan Analysis</t>
  </si>
  <si>
    <t>Total Interest</t>
  </si>
  <si>
    <t>Total Paid</t>
  </si>
  <si>
    <r>
      <t xml:space="preserve">Input Information in all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cells.  If puchase is paid in full, input 100% for downpayment.</t>
    </r>
  </si>
  <si>
    <t xml:space="preserve">   Maintenance Dues per Point</t>
  </si>
  <si>
    <t xml:space="preserve">   Usable DVC Period in Years</t>
  </si>
  <si>
    <t>Loan Amortization Table</t>
  </si>
  <si>
    <t xml:space="preserve">   Mortgage Principal</t>
  </si>
  <si>
    <t xml:space="preserve">   Payments per Year</t>
  </si>
  <si>
    <t xml:space="preserve">   Total Number of Payments</t>
  </si>
  <si>
    <t xml:space="preserve">   Mortgage Start Date</t>
  </si>
  <si>
    <t>This is for information/illustration purposes only, no calculations or assumptions or tax estimates are guaranteed.</t>
  </si>
  <si>
    <t>Overall Annual Cost Analysis</t>
  </si>
  <si>
    <t>Dues Inflation Calculation</t>
  </si>
  <si>
    <t>Dues</t>
  </si>
  <si>
    <t>Inflation</t>
  </si>
  <si>
    <t>Annual</t>
  </si>
  <si>
    <t>Increase</t>
  </si>
  <si>
    <t>Accum</t>
  </si>
  <si>
    <t>Overall and Average costs and inflation factors are over total DVC period and averaged by total years used.</t>
  </si>
  <si>
    <t>Price and Mortgage Calculations</t>
  </si>
  <si>
    <t xml:space="preserve">   Possible Annual Interest Loss</t>
  </si>
  <si>
    <t xml:space="preserve">   Possible Annual IRS Deduction</t>
  </si>
  <si>
    <t>Disney Vacation Club Availability</t>
  </si>
  <si>
    <t>Disney</t>
  </si>
  <si>
    <t>Deciated</t>
  </si>
  <si>
    <t>Dedicated</t>
  </si>
  <si>
    <t>Lockoff</t>
  </si>
  <si>
    <t>Grand</t>
  </si>
  <si>
    <t>Inn</t>
  </si>
  <si>
    <t xml:space="preserve">Total </t>
  </si>
  <si>
    <t>Total</t>
  </si>
  <si>
    <t>DVC</t>
  </si>
  <si>
    <t>One</t>
  </si>
  <si>
    <t>Two</t>
  </si>
  <si>
    <t>Actual</t>
  </si>
  <si>
    <t>Dues Per</t>
  </si>
  <si>
    <t>Resort</t>
  </si>
  <si>
    <t>Studios</t>
  </si>
  <si>
    <t>Bedroom</t>
  </si>
  <si>
    <t>Villas</t>
  </si>
  <si>
    <t>Rooms</t>
  </si>
  <si>
    <t>Point</t>
  </si>
  <si>
    <t>WLV</t>
  </si>
  <si>
    <t>BWV</t>
  </si>
  <si>
    <t>OKW</t>
  </si>
  <si>
    <t>BCV</t>
  </si>
  <si>
    <t>HHI</t>
  </si>
  <si>
    <t>SSR</t>
  </si>
  <si>
    <t>VB</t>
  </si>
  <si>
    <t>All views are "standard" and does not include "prefered view" points.</t>
  </si>
  <si>
    <t>If Points</t>
  </si>
  <si>
    <t>Sold at</t>
  </si>
  <si>
    <t>Year</t>
  </si>
  <si>
    <t>HH</t>
  </si>
  <si>
    <t>VWL</t>
  </si>
  <si>
    <t>Per Point</t>
  </si>
  <si>
    <t>Maintenance Fees History - Increase/Decrease Percentages</t>
  </si>
  <si>
    <t>Incr From</t>
  </si>
  <si>
    <t>Prev Year</t>
  </si>
  <si>
    <t>Median</t>
  </si>
  <si>
    <r>
      <t xml:space="preserve">IRS possible deduction credit based upon 20% </t>
    </r>
    <r>
      <rPr>
        <i/>
        <u val="single"/>
        <sz val="11"/>
        <rFont val="Arial"/>
        <family val="2"/>
      </rPr>
      <t>net</t>
    </r>
    <r>
      <rPr>
        <sz val="11"/>
        <rFont val="Arial"/>
        <family val="2"/>
      </rPr>
      <t xml:space="preserve"> bracket, if you are able to claim interest as 2nd mortgage.</t>
    </r>
  </si>
  <si>
    <t>Minus 1%</t>
  </si>
  <si>
    <t>Acc Bank</t>
  </si>
  <si>
    <t>Average</t>
  </si>
  <si>
    <t>Straight Line</t>
  </si>
  <si>
    <t>For new information or corrections, please send email to TheRustyScupper@yahoo.com</t>
  </si>
  <si>
    <t xml:space="preserve">  1st Yr Monthly Payment w/Dues</t>
  </si>
  <si>
    <t xml:space="preserve">  1st Yr Monthly Mortgage Payment</t>
  </si>
  <si>
    <t>For miscellaneous information on each DVC Resort, go to last tab.</t>
  </si>
  <si>
    <t xml:space="preserve">   Fixed Mortgage Interest Rate</t>
  </si>
  <si>
    <t>If "Resale" is selected for Purchased From, $450 is automatically included into total DVC cost and Downpayment for Closing Costs.</t>
  </si>
  <si>
    <t>Overall Cost is also computed without using Downpayment lost savings, to be used as a simple cost calculation.</t>
  </si>
  <si>
    <t>Overall Cost includes Interest Loss assuming Downpayment deposited in savings at 1% under inflation remains on deposit.</t>
  </si>
  <si>
    <r>
      <t xml:space="preserve">   Down Payment</t>
    </r>
    <r>
      <rPr>
        <sz val="12"/>
        <rFont val="Arial"/>
        <family val="2"/>
      </rPr>
      <t xml:space="preserve"> Amount</t>
    </r>
  </si>
  <si>
    <t xml:space="preserve">   Total Interest for Entire Loan</t>
  </si>
  <si>
    <t xml:space="preserve">   Sum Purchase, Dues, Interest</t>
  </si>
  <si>
    <t xml:space="preserve">   Maintenance Dues First Year</t>
  </si>
  <si>
    <t xml:space="preserve">   Date DVC Rights Expiration Date</t>
  </si>
  <si>
    <t xml:space="preserve">   Possible Total Interest Loss</t>
  </si>
  <si>
    <t>Interest Loss</t>
  </si>
  <si>
    <t>Based upon public information. Use/distribute freely.</t>
  </si>
  <si>
    <t xml:space="preserve">  Overall Avg Annual Cost</t>
  </si>
  <si>
    <t xml:space="preserve">  Overall Avg Cost w/o Interest Loss</t>
  </si>
  <si>
    <t xml:space="preserve">   Sum of Annual Dues Until Expiration</t>
  </si>
  <si>
    <t>30-Year Mortgage</t>
  </si>
  <si>
    <t>Maximum</t>
  </si>
  <si>
    <t>Older Properties expire on January-2042</t>
  </si>
  <si>
    <t>SSR is January-2052. Other may be up to 50-Years.</t>
  </si>
  <si>
    <t xml:space="preserve">   Sum of All Years Increases</t>
  </si>
  <si>
    <t>Ann Pts / Unit</t>
  </si>
  <si>
    <t>Maintenance Fees History Per Point (US$)</t>
  </si>
  <si>
    <t>Disney Vacation Club Resort " What If " Value (US$)</t>
  </si>
  <si>
    <t>Resorts</t>
  </si>
  <si>
    <t>Resale</t>
  </si>
  <si>
    <t>DP</t>
  </si>
  <si>
    <t>Mort Yrs</t>
  </si>
  <si>
    <t>Buy Type</t>
  </si>
  <si>
    <t xml:space="preserve">   Number of Points Purchased</t>
  </si>
  <si>
    <r>
      <t xml:space="preserve">   Net Price per Point </t>
    </r>
    <r>
      <rPr>
        <i/>
        <sz val="8"/>
        <color indexed="56"/>
        <rFont val="Arial"/>
        <family val="2"/>
      </rPr>
      <t>(after discounts)</t>
    </r>
  </si>
  <si>
    <r>
      <t xml:space="preserve">   Total Purchase </t>
    </r>
    <r>
      <rPr>
        <i/>
        <sz val="8"/>
        <color indexed="56"/>
        <rFont val="Arial"/>
        <family val="2"/>
      </rPr>
      <t>(excluding any Closing Costs)</t>
    </r>
  </si>
  <si>
    <r>
      <t xml:space="preserve">   Down Payment</t>
    </r>
    <r>
      <rPr>
        <i/>
        <sz val="8"/>
        <color indexed="56"/>
        <rFont val="Arial"/>
        <family val="2"/>
      </rPr>
      <t>(Drop Down Menu)</t>
    </r>
  </si>
  <si>
    <r>
      <t xml:space="preserve">   Payment Years </t>
    </r>
    <r>
      <rPr>
        <i/>
        <sz val="8"/>
        <color indexed="56"/>
        <rFont val="Arial"/>
        <family val="2"/>
      </rPr>
      <t>(Drop Down Menu)</t>
    </r>
  </si>
  <si>
    <r>
      <t xml:space="preserve">   Total Purchase Cost </t>
    </r>
    <r>
      <rPr>
        <i/>
        <sz val="8"/>
        <color indexed="56"/>
        <rFont val="Arial"/>
        <family val="2"/>
      </rPr>
      <t>(Purchase+Interest)</t>
    </r>
  </si>
  <si>
    <r>
      <t xml:space="preserve">   Resort </t>
    </r>
    <r>
      <rPr>
        <i/>
        <sz val="8"/>
        <color indexed="56"/>
        <rFont val="Arial"/>
        <family val="2"/>
      </rPr>
      <t>(Drop Down Menu)</t>
    </r>
  </si>
  <si>
    <r>
      <t xml:space="preserve">   Date DVC Purchased </t>
    </r>
    <r>
      <rPr>
        <i/>
        <sz val="8"/>
        <color indexed="56"/>
        <rFont val="Arial"/>
        <family val="2"/>
      </rPr>
      <t>(mm/dd/yyyy)</t>
    </r>
  </si>
  <si>
    <r>
      <t xml:space="preserve">   Estimated Annual Inflation </t>
    </r>
    <r>
      <rPr>
        <i/>
        <sz val="8"/>
        <color indexed="56"/>
        <rFont val="Arial"/>
        <family val="2"/>
      </rPr>
      <t>(Drop Down Menu)</t>
    </r>
  </si>
  <si>
    <r>
      <t xml:space="preserve">   Historical  Dues Inflation </t>
    </r>
    <r>
      <rPr>
        <i/>
        <sz val="8"/>
        <color indexed="56"/>
        <rFont val="Arial"/>
        <family val="2"/>
      </rPr>
      <t>(Reference Only)</t>
    </r>
  </si>
  <si>
    <r>
      <t xml:space="preserve">   Purchased From </t>
    </r>
    <r>
      <rPr>
        <i/>
        <sz val="8"/>
        <color indexed="56"/>
        <rFont val="Arial"/>
        <family val="2"/>
      </rPr>
      <t>(Drop Down Menu)</t>
    </r>
  </si>
  <si>
    <t>For "Drop Down Menus", place mouse over cell and Right-click, then select choice from available list.</t>
  </si>
  <si>
    <t>(Less 4%</t>
  </si>
  <si>
    <t>WDW Rental)</t>
  </si>
  <si>
    <t>Approx</t>
  </si>
  <si>
    <t>2007</t>
  </si>
  <si>
    <t>Total Ann Pts</t>
  </si>
  <si>
    <t>AKV</t>
  </si>
  <si>
    <t>"Best Information" as of January 5, 2007, and not guaranteed</t>
  </si>
  <si>
    <t>Rev January 2007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</si>
</sst>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0.000"/>
    <numFmt numFmtId="167" formatCode="0.0000"/>
    <numFmt numFmtId="168" formatCode="&quot;$&quot;#,##0.0_);\(&quot;$&quot;#,##0.0\)"/>
    <numFmt numFmtId="169" formatCode="0.000%"/>
    <numFmt numFmtId="170" formatCode="[Red]\(&quot;$&quot;#,##0.00\)"/>
    <numFmt numFmtId="171" formatCode="0.0"/>
    <numFmt numFmtId="172" formatCode="mmm\-dd\-yyyy"/>
    <numFmt numFmtId="173" formatCode="0.0\ %"/>
    <numFmt numFmtId="174" formatCode="0.0\ &quot;%&quot;"/>
    <numFmt numFmtId="175" formatCode="0.000\ &quot;%&quot;"/>
    <numFmt numFmtId="176" formatCode="#,##0.000_);[Red]\(#,##0.000\)"/>
    <numFmt numFmtId="177" formatCode="&quot;$&quot;#,##0.0_);[Red]\(&quot;$&quot;#,##0.0\)"/>
    <numFmt numFmtId="178" formatCode="mm/dd/yy"/>
    <numFmt numFmtId="179" formatCode="dd\-mmm\-yy"/>
    <numFmt numFmtId="180" formatCode="0.0000%"/>
    <numFmt numFmtId="181" formatCode="0.00000%"/>
    <numFmt numFmtId="182" formatCode="mmmm\ d\,\ yyyy"/>
    <numFmt numFmtId="183" formatCode="mmmm\-yy"/>
    <numFmt numFmtId="184" formatCode="mm\ yyyy"/>
    <numFmt numFmtId="185" formatCode="mmm\ yyyy"/>
    <numFmt numFmtId="186" formatCode="mm/dd/yyyy"/>
    <numFmt numFmtId="187" formatCode="_(&quot;$&quot;* #,##0_);_(&quot;$&quot;* \(#,##0\);_(&quot;$&quot;* &quot;-&quot;??_);_(@_)"/>
    <numFmt numFmtId="188" formatCode="&quot;$&quot;#,##0"/>
    <numFmt numFmtId="189" formatCode="_(&quot;$&quot;* #,##0.0_);_(&quot;$&quot;* \(#,##0.0\);_(&quot;$&quot;* &quot;-&quot;??_);_(@_)"/>
    <numFmt numFmtId="190" formatCode="#,##0.0"/>
    <numFmt numFmtId="191" formatCode="m/d/yy"/>
    <numFmt numFmtId="192" formatCode="mmm/d/yy"/>
    <numFmt numFmtId="193" formatCode="mmm\-d\-yyyy"/>
    <numFmt numFmtId="194" formatCode="m\-d"/>
    <numFmt numFmtId="195" formatCode="mmmm\ d"/>
    <numFmt numFmtId="196" formatCode="mmmm\ yyyy"/>
    <numFmt numFmtId="197" formatCode="yyyy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_(&quot;$&quot;* #,##0.00000_);_(&quot;$&quot;* \(#,##0.00000\);_(&quot;$&quot;* &quot;-&quot;??_);_(@_)"/>
    <numFmt numFmtId="201" formatCode="0.00\ &quot;%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&quot;$&quot;#,##0.000_);[Red]\(&quot;$&quot;#,##0.000\)"/>
  </numFmts>
  <fonts count="29">
    <font>
      <sz val="11"/>
      <name val="Helv"/>
      <family val="0"/>
    </font>
    <font>
      <b/>
      <sz val="11"/>
      <name val="Helv"/>
      <family val="0"/>
    </font>
    <font>
      <i/>
      <sz val="11"/>
      <name val="Helv"/>
      <family val="0"/>
    </font>
    <font>
      <b/>
      <i/>
      <sz val="11"/>
      <name val="Helv"/>
      <family val="0"/>
    </font>
    <font>
      <sz val="10"/>
      <name val="MS Sans Serif"/>
      <family val="0"/>
    </font>
    <font>
      <sz val="18"/>
      <name val="Arial MT Black"/>
      <family val="0"/>
    </font>
    <font>
      <sz val="10"/>
      <name val="Arial"/>
      <family val="2"/>
    </font>
    <font>
      <sz val="11"/>
      <name val="Arial"/>
      <family val="2"/>
    </font>
    <font>
      <sz val="18"/>
      <color indexed="10"/>
      <name val="Arial MT Black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i/>
      <u val="single"/>
      <sz val="11"/>
      <name val="Arial"/>
      <family val="2"/>
    </font>
    <font>
      <sz val="12"/>
      <name val="Helv"/>
      <family val="0"/>
    </font>
    <font>
      <b/>
      <sz val="20"/>
      <name val="Arial MT Black"/>
      <family val="0"/>
    </font>
    <font>
      <sz val="18"/>
      <name val="Helv"/>
      <family val="0"/>
    </font>
    <font>
      <sz val="8"/>
      <name val="Helv"/>
      <family val="0"/>
    </font>
    <font>
      <sz val="14"/>
      <color indexed="9"/>
      <name val="Arial"/>
      <family val="2"/>
    </font>
    <font>
      <i/>
      <sz val="8"/>
      <color indexed="56"/>
      <name val="Arial"/>
      <family val="2"/>
    </font>
    <font>
      <sz val="11"/>
      <color indexed="10"/>
      <name val="Helv"/>
      <family val="0"/>
    </font>
    <font>
      <sz val="11"/>
      <color indexed="13"/>
      <name val="Helv"/>
      <family val="0"/>
    </font>
    <font>
      <sz val="11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/>
    </xf>
    <xf numFmtId="8" fontId="0" fillId="2" borderId="0" xfId="0" applyNumberForma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4" fillId="0" borderId="1" xfId="0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 applyProtection="1">
      <alignment horizontal="centerContinuous"/>
      <protection/>
    </xf>
    <xf numFmtId="0" fontId="14" fillId="0" borderId="2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Continuous"/>
      <protection/>
    </xf>
    <xf numFmtId="38" fontId="14" fillId="0" borderId="4" xfId="15" applyNumberFormat="1" applyFont="1" applyFill="1" applyBorder="1" applyAlignment="1" applyProtection="1">
      <alignment horizontal="right"/>
      <protection locked="0"/>
    </xf>
    <xf numFmtId="0" fontId="10" fillId="0" borderId="5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6" fontId="14" fillId="0" borderId="7" xfId="17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9" fontId="13" fillId="0" borderId="5" xfId="17" applyNumberFormat="1" applyFont="1" applyFill="1" applyBorder="1" applyAlignment="1" applyProtection="1">
      <alignment horizontal="right"/>
      <protection locked="0"/>
    </xf>
    <xf numFmtId="8" fontId="10" fillId="0" borderId="0" xfId="17" applyFont="1" applyFill="1" applyBorder="1" applyAlignment="1" applyProtection="1">
      <alignment horizontal="right"/>
      <protection/>
    </xf>
    <xf numFmtId="5" fontId="10" fillId="0" borderId="0" xfId="0" applyNumberFormat="1" applyFont="1" applyFill="1" applyBorder="1" applyAlignment="1" applyProtection="1">
      <alignment horizontal="right"/>
      <protection/>
    </xf>
    <xf numFmtId="175" fontId="14" fillId="0" borderId="7" xfId="0" applyNumberFormat="1" applyFont="1" applyFill="1" applyBorder="1" applyAlignment="1" applyProtection="1" quotePrefix="1">
      <alignment horizontal="right"/>
      <protection locked="0"/>
    </xf>
    <xf numFmtId="169" fontId="13" fillId="0" borderId="0" xfId="0" applyNumberFormat="1" applyFont="1" applyFill="1" applyBorder="1" applyAlignment="1" applyProtection="1" quotePrefix="1">
      <alignment horizontal="right"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0" xfId="15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14" fontId="13" fillId="0" borderId="0" xfId="0" applyNumberFormat="1" applyFont="1" applyFill="1" applyBorder="1" applyAlignment="1" applyProtection="1">
      <alignment horizontal="right"/>
      <protection locked="0"/>
    </xf>
    <xf numFmtId="7" fontId="10" fillId="0" borderId="0" xfId="0" applyNumberFormat="1" applyFont="1" applyFill="1" applyBorder="1" applyAlignment="1" applyProtection="1">
      <alignment horizontal="right"/>
      <protection/>
    </xf>
    <xf numFmtId="7" fontId="15" fillId="0" borderId="6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10" fontId="0" fillId="2" borderId="0" xfId="21" applyNumberFormat="1" applyFill="1" applyAlignment="1">
      <alignment/>
    </xf>
    <xf numFmtId="182" fontId="14" fillId="0" borderId="4" xfId="0" applyNumberFormat="1" applyFont="1" applyFill="1" applyBorder="1" applyAlignment="1" applyProtection="1">
      <alignment horizontal="right"/>
      <protection locked="0"/>
    </xf>
    <xf numFmtId="10" fontId="14" fillId="0" borderId="7" xfId="21" applyNumberFormat="1" applyFont="1" applyFill="1" applyBorder="1" applyAlignment="1" applyProtection="1">
      <alignment horizontal="right"/>
      <protection locked="0"/>
    </xf>
    <xf numFmtId="187" fontId="7" fillId="2" borderId="0" xfId="17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6" fontId="10" fillId="0" borderId="11" xfId="17" applyNumberFormat="1" applyFont="1" applyFill="1" applyBorder="1" applyAlignment="1" applyProtection="1">
      <alignment horizontal="right"/>
      <protection hidden="1"/>
    </xf>
    <xf numFmtId="6" fontId="10" fillId="0" borderId="7" xfId="17" applyNumberFormat="1" applyFont="1" applyFill="1" applyBorder="1" applyAlignment="1" applyProtection="1">
      <alignment horizontal="right"/>
      <protection hidden="1"/>
    </xf>
    <xf numFmtId="5" fontId="10" fillId="0" borderId="7" xfId="0" applyNumberFormat="1" applyFont="1" applyFill="1" applyBorder="1" applyAlignment="1" applyProtection="1">
      <alignment horizontal="right"/>
      <protection hidden="1"/>
    </xf>
    <xf numFmtId="38" fontId="10" fillId="0" borderId="7" xfId="15" applyNumberFormat="1" applyFont="1" applyFill="1" applyBorder="1" applyAlignment="1" applyProtection="1">
      <alignment horizontal="right"/>
      <protection hidden="1"/>
    </xf>
    <xf numFmtId="8" fontId="10" fillId="0" borderId="7" xfId="17" applyNumberFormat="1" applyFont="1" applyFill="1" applyBorder="1" applyAlignment="1" applyProtection="1">
      <alignment horizontal="right"/>
      <protection hidden="1"/>
    </xf>
    <xf numFmtId="8" fontId="10" fillId="0" borderId="7" xfId="0" applyNumberFormat="1" applyFont="1" applyFill="1" applyBorder="1" applyAlignment="1" applyProtection="1">
      <alignment horizontal="right"/>
      <protection hidden="1"/>
    </xf>
    <xf numFmtId="196" fontId="10" fillId="0" borderId="7" xfId="0" applyNumberFormat="1" applyFont="1" applyFill="1" applyBorder="1" applyAlignment="1" applyProtection="1">
      <alignment horizontal="right"/>
      <protection hidden="1"/>
    </xf>
    <xf numFmtId="7" fontId="15" fillId="0" borderId="4" xfId="0" applyNumberFormat="1" applyFont="1" applyFill="1" applyBorder="1" applyAlignment="1" applyProtection="1">
      <alignment horizontal="right"/>
      <protection hidden="1"/>
    </xf>
    <xf numFmtId="7" fontId="15" fillId="0" borderId="11" xfId="0" applyNumberFormat="1" applyFont="1" applyFill="1" applyBorder="1" applyAlignment="1" applyProtection="1">
      <alignment horizontal="right"/>
      <protection hidden="1"/>
    </xf>
    <xf numFmtId="1" fontId="10" fillId="0" borderId="11" xfId="0" applyNumberFormat="1" applyFont="1" applyFill="1" applyBorder="1" applyAlignment="1" applyProtection="1">
      <alignment horizontal="right"/>
      <protection hidden="1"/>
    </xf>
    <xf numFmtId="8" fontId="10" fillId="0" borderId="4" xfId="17" applyFont="1" applyFill="1" applyBorder="1" applyAlignment="1" applyProtection="1">
      <alignment horizontal="right"/>
      <protection hidden="1"/>
    </xf>
    <xf numFmtId="10" fontId="20" fillId="0" borderId="0" xfId="21" applyNumberFormat="1" applyFont="1" applyFill="1" applyBorder="1" applyAlignment="1" applyProtection="1">
      <alignment horizontal="right"/>
      <protection hidden="1"/>
    </xf>
    <xf numFmtId="0" fontId="20" fillId="0" borderId="8" xfId="0" applyFont="1" applyFill="1" applyBorder="1" applyAlignment="1" applyProtection="1">
      <alignment/>
      <protection hidden="1"/>
    </xf>
    <xf numFmtId="0" fontId="10" fillId="0" borderId="8" xfId="0" applyFont="1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8" fontId="15" fillId="0" borderId="12" xfId="17" applyNumberFormat="1" applyFont="1" applyFill="1" applyBorder="1" applyAlignment="1" applyProtection="1">
      <alignment horizontal="right"/>
      <protection hidden="1"/>
    </xf>
    <xf numFmtId="0" fontId="10" fillId="0" borderId="13" xfId="0" applyFont="1" applyFill="1" applyBorder="1" applyAlignment="1" applyProtection="1">
      <alignment/>
      <protection hidden="1"/>
    </xf>
    <xf numFmtId="8" fontId="10" fillId="0" borderId="11" xfId="0" applyNumberFormat="1" applyFont="1" applyFill="1" applyBorder="1" applyAlignment="1" applyProtection="1">
      <alignment horizontal="right"/>
      <protection hidden="1"/>
    </xf>
    <xf numFmtId="7" fontId="10" fillId="0" borderId="10" xfId="0" applyNumberFormat="1" applyFont="1" applyFill="1" applyBorder="1" applyAlignment="1" applyProtection="1">
      <alignment horizontal="right"/>
      <protection hidden="1"/>
    </xf>
    <xf numFmtId="8" fontId="15" fillId="0" borderId="5" xfId="17" applyNumberFormat="1" applyFont="1" applyFill="1" applyBorder="1" applyAlignment="1" applyProtection="1">
      <alignment horizontal="right"/>
      <protection hidden="1"/>
    </xf>
    <xf numFmtId="0" fontId="10" fillId="0" borderId="6" xfId="0" applyFont="1" applyFill="1" applyBorder="1" applyAlignment="1" applyProtection="1">
      <alignment/>
      <protection hidden="1"/>
    </xf>
    <xf numFmtId="8" fontId="15" fillId="0" borderId="9" xfId="17" applyNumberFormat="1" applyFont="1" applyFill="1" applyBorder="1" applyAlignment="1" applyProtection="1">
      <alignment horizontal="right"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10" fillId="0" borderId="14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>
      <alignment/>
      <protection hidden="1"/>
    </xf>
    <xf numFmtId="0" fontId="10" fillId="0" borderId="16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15" fillId="0" borderId="19" xfId="0" applyFont="1" applyFill="1" applyBorder="1" applyAlignment="1" applyProtection="1">
      <alignment/>
      <protection hidden="1"/>
    </xf>
    <xf numFmtId="0" fontId="15" fillId="0" borderId="20" xfId="0" applyNumberFormat="1" applyFont="1" applyFill="1" applyBorder="1" applyAlignment="1" applyProtection="1">
      <alignment horizontal="left"/>
      <protection hidden="1"/>
    </xf>
    <xf numFmtId="0" fontId="15" fillId="0" borderId="21" xfId="0" applyNumberFormat="1" applyFont="1" applyFill="1" applyBorder="1" applyAlignment="1" applyProtection="1">
      <alignment horizontal="left"/>
      <protection hidden="1"/>
    </xf>
    <xf numFmtId="0" fontId="10" fillId="0" borderId="15" xfId="0" applyNumberFormat="1" applyFont="1" applyFill="1" applyBorder="1" applyAlignment="1" applyProtection="1">
      <alignment horizontal="left"/>
      <protection hidden="1"/>
    </xf>
    <xf numFmtId="0" fontId="10" fillId="0" borderId="16" xfId="0" applyNumberFormat="1" applyFont="1" applyFill="1" applyBorder="1" applyAlignment="1" applyProtection="1">
      <alignment horizontal="left"/>
      <protection hidden="1"/>
    </xf>
    <xf numFmtId="0" fontId="15" fillId="0" borderId="15" xfId="0" applyNumberFormat="1" applyFont="1" applyFill="1" applyBorder="1" applyAlignment="1" applyProtection="1">
      <alignment horizontal="left"/>
      <protection hidden="1"/>
    </xf>
    <xf numFmtId="0" fontId="15" fillId="0" borderId="17" xfId="0" applyNumberFormat="1" applyFont="1" applyFill="1" applyBorder="1" applyAlignment="1" applyProtection="1">
      <alignment horizontal="left"/>
      <protection hidden="1"/>
    </xf>
    <xf numFmtId="0" fontId="21" fillId="2" borderId="0" xfId="0" applyFont="1" applyFill="1" applyBorder="1" applyAlignment="1" applyProtection="1">
      <alignment horizontal="centerContinuous"/>
      <protection hidden="1"/>
    </xf>
    <xf numFmtId="0" fontId="5" fillId="2" borderId="0" xfId="0" applyFont="1" applyFill="1" applyBorder="1" applyAlignment="1" applyProtection="1">
      <alignment horizontal="centerContinuous"/>
      <protection hidden="1"/>
    </xf>
    <xf numFmtId="0" fontId="8" fillId="2" borderId="0" xfId="0" applyFont="1" applyFill="1" applyBorder="1" applyAlignment="1" applyProtection="1">
      <alignment horizontal="centerContinuous"/>
      <protection hidden="1"/>
    </xf>
    <xf numFmtId="0" fontId="5" fillId="2" borderId="0" xfId="0" applyFont="1" applyFill="1" applyAlignment="1" applyProtection="1">
      <alignment horizontal="centerContinuous"/>
      <protection hidden="1"/>
    </xf>
    <xf numFmtId="0" fontId="6" fillId="2" borderId="0" xfId="0" applyFont="1" applyFill="1" applyBorder="1" applyAlignment="1" applyProtection="1">
      <alignment horizontal="centerContinuous"/>
      <protection hidden="1" locked="0"/>
    </xf>
    <xf numFmtId="0" fontId="6" fillId="2" borderId="0" xfId="0" applyFont="1" applyFill="1" applyBorder="1" applyAlignment="1" applyProtection="1">
      <alignment horizontal="centerContinuous"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15" fillId="2" borderId="0" xfId="0" applyNumberFormat="1" applyFont="1" applyFill="1" applyBorder="1" applyAlignment="1" applyProtection="1">
      <alignment horizontal="left"/>
      <protection hidden="1"/>
    </xf>
    <xf numFmtId="7" fontId="15" fillId="2" borderId="0" xfId="0" applyNumberFormat="1" applyFont="1" applyFill="1" applyBorder="1" applyAlignment="1" applyProtection="1">
      <alignment horizontal="right"/>
      <protection hidden="1"/>
    </xf>
    <xf numFmtId="8" fontId="15" fillId="2" borderId="0" xfId="17" applyNumberFormat="1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10" fontId="0" fillId="2" borderId="0" xfId="21" applyNumberFormat="1" applyFill="1" applyAlignment="1" applyProtection="1">
      <alignment/>
      <protection hidden="1"/>
    </xf>
    <xf numFmtId="8" fontId="5" fillId="2" borderId="0" xfId="0" applyNumberFormat="1" applyFont="1" applyFill="1" applyAlignment="1" applyProtection="1">
      <alignment horizontal="centerContinuous"/>
      <protection hidden="1"/>
    </xf>
    <xf numFmtId="8" fontId="6" fillId="2" borderId="0" xfId="0" applyNumberFormat="1" applyFont="1" applyFill="1" applyAlignment="1" applyProtection="1">
      <alignment horizontal="centerContinuous"/>
      <protection hidden="1"/>
    </xf>
    <xf numFmtId="0" fontId="6" fillId="0" borderId="22" xfId="0" applyFont="1" applyFill="1" applyBorder="1" applyAlignment="1" applyProtection="1" quotePrefix="1">
      <alignment horizontal="center"/>
      <protection hidden="1"/>
    </xf>
    <xf numFmtId="178" fontId="6" fillId="0" borderId="22" xfId="0" applyNumberFormat="1" applyFont="1" applyFill="1" applyBorder="1" applyAlignment="1" applyProtection="1" quotePrefix="1">
      <alignment horizontal="center"/>
      <protection hidden="1"/>
    </xf>
    <xf numFmtId="8" fontId="6" fillId="0" borderId="22" xfId="0" applyNumberFormat="1" applyFont="1" applyFill="1" applyBorder="1" applyAlignment="1" applyProtection="1" quotePrefix="1">
      <alignment horizontal="center"/>
      <protection hidden="1"/>
    </xf>
    <xf numFmtId="0" fontId="0" fillId="0" borderId="22" xfId="0" applyFill="1" applyBorder="1" applyAlignment="1" applyProtection="1" quotePrefix="1">
      <alignment horizontal="center"/>
      <protection hidden="1"/>
    </xf>
    <xf numFmtId="8" fontId="6" fillId="0" borderId="22" xfId="0" applyNumberFormat="1" applyFont="1" applyFill="1" applyBorder="1" applyAlignment="1" applyProtection="1">
      <alignment horizontal="center"/>
      <protection hidden="1"/>
    </xf>
    <xf numFmtId="8" fontId="6" fillId="2" borderId="0" xfId="0" applyNumberFormat="1" applyFont="1" applyFill="1" applyBorder="1" applyAlignment="1" applyProtection="1">
      <alignment horizontal="center"/>
      <protection hidden="1"/>
    </xf>
    <xf numFmtId="8" fontId="6" fillId="0" borderId="23" xfId="17" applyFont="1" applyFill="1" applyBorder="1" applyAlignment="1" applyProtection="1">
      <alignment horizontal="center"/>
      <protection hidden="1"/>
    </xf>
    <xf numFmtId="169" fontId="6" fillId="0" borderId="23" xfId="21" applyNumberFormat="1" applyFont="1" applyFill="1" applyBorder="1" applyAlignment="1" applyProtection="1">
      <alignment horizontal="center"/>
      <protection hidden="1"/>
    </xf>
    <xf numFmtId="8" fontId="0" fillId="0" borderId="23" xfId="0" applyNumberFormat="1" applyFill="1" applyBorder="1" applyAlignment="1" applyProtection="1">
      <alignment horizontal="center"/>
      <protection hidden="1"/>
    </xf>
    <xf numFmtId="8" fontId="6" fillId="0" borderId="23" xfId="0" applyNumberFormat="1" applyFont="1" applyFill="1" applyBorder="1" applyAlignment="1" applyProtection="1">
      <alignment horizontal="center"/>
      <protection hidden="1"/>
    </xf>
    <xf numFmtId="8" fontId="6" fillId="2" borderId="0" xfId="17" applyFont="1" applyFill="1" applyBorder="1" applyAlignment="1" applyProtection="1">
      <alignment horizontal="center"/>
      <protection hidden="1"/>
    </xf>
    <xf numFmtId="169" fontId="6" fillId="2" borderId="0" xfId="21" applyNumberFormat="1" applyFont="1" applyFill="1" applyBorder="1" applyAlignment="1" applyProtection="1">
      <alignment horizontal="center"/>
      <protection hidden="1"/>
    </xf>
    <xf numFmtId="38" fontId="6" fillId="2" borderId="0" xfId="15" applyNumberFormat="1" applyFont="1" applyFill="1" applyBorder="1" applyAlignment="1" applyProtection="1">
      <alignment horizontal="center"/>
      <protection hidden="1"/>
    </xf>
    <xf numFmtId="8" fontId="6" fillId="2" borderId="0" xfId="17" applyFont="1" applyFill="1" applyBorder="1" applyAlignment="1" applyProtection="1" quotePrefix="1">
      <alignment horizontal="center"/>
      <protection hidden="1"/>
    </xf>
    <xf numFmtId="8" fontId="0" fillId="2" borderId="0" xfId="0" applyNumberFormat="1" applyFill="1" applyAlignment="1" applyProtection="1">
      <alignment/>
      <protection hidden="1"/>
    </xf>
    <xf numFmtId="0" fontId="1" fillId="0" borderId="24" xfId="0" applyNumberFormat="1" applyFont="1" applyFill="1" applyBorder="1" applyAlignment="1" applyProtection="1">
      <alignment horizontal="center"/>
      <protection hidden="1"/>
    </xf>
    <xf numFmtId="8" fontId="1" fillId="0" borderId="24" xfId="0" applyNumberFormat="1" applyFont="1" applyFill="1" applyBorder="1" applyAlignment="1" applyProtection="1">
      <alignment horizontal="center"/>
      <protection hidden="1"/>
    </xf>
    <xf numFmtId="8" fontId="1" fillId="0" borderId="22" xfId="0" applyNumberFormat="1" applyFont="1" applyFill="1" applyBorder="1" applyAlignment="1" applyProtection="1">
      <alignment horizontal="center"/>
      <protection hidden="1"/>
    </xf>
    <xf numFmtId="8" fontId="1" fillId="0" borderId="25" xfId="0" applyNumberFormat="1" applyFont="1" applyFill="1" applyBorder="1" applyAlignment="1" applyProtection="1">
      <alignment horizontal="center"/>
      <protection hidden="1"/>
    </xf>
    <xf numFmtId="8" fontId="1" fillId="2" borderId="0" xfId="0" applyNumberFormat="1" applyFont="1" applyFill="1" applyBorder="1" applyAlignment="1" applyProtection="1">
      <alignment horizontal="center"/>
      <protection hidden="1"/>
    </xf>
    <xf numFmtId="10" fontId="1" fillId="0" borderId="22" xfId="21" applyNumberFormat="1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1" fillId="0" borderId="26" xfId="0" applyNumberFormat="1" applyFont="1" applyFill="1" applyBorder="1" applyAlignment="1" applyProtection="1">
      <alignment horizontal="center"/>
      <protection hidden="1"/>
    </xf>
    <xf numFmtId="8" fontId="1" fillId="0" borderId="26" xfId="0" applyNumberFormat="1" applyFont="1" applyFill="1" applyBorder="1" applyAlignment="1" applyProtection="1">
      <alignment horizontal="center"/>
      <protection hidden="1"/>
    </xf>
    <xf numFmtId="8" fontId="1" fillId="0" borderId="23" xfId="0" applyNumberFormat="1" applyFont="1" applyFill="1" applyBorder="1" applyAlignment="1" applyProtection="1">
      <alignment horizontal="center"/>
      <protection hidden="1"/>
    </xf>
    <xf numFmtId="8" fontId="1" fillId="0" borderId="27" xfId="0" applyNumberFormat="1" applyFont="1" applyFill="1" applyBorder="1" applyAlignment="1" applyProtection="1">
      <alignment horizontal="center"/>
      <protection hidden="1"/>
    </xf>
    <xf numFmtId="8" fontId="1" fillId="0" borderId="28" xfId="0" applyNumberFormat="1" applyFon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10" fontId="1" fillId="0" borderId="23" xfId="21" applyNumberFormat="1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0" fillId="0" borderId="7" xfId="0" applyNumberFormat="1" applyFill="1" applyBorder="1" applyAlignment="1" applyProtection="1">
      <alignment horizontal="center"/>
      <protection hidden="1"/>
    </xf>
    <xf numFmtId="8" fontId="0" fillId="0" borderId="24" xfId="0" applyNumberFormat="1" applyFill="1" applyBorder="1" applyAlignment="1" applyProtection="1">
      <alignment/>
      <protection hidden="1"/>
    </xf>
    <xf numFmtId="8" fontId="0" fillId="0" borderId="22" xfId="0" applyNumberFormat="1" applyFill="1" applyBorder="1" applyAlignment="1" applyProtection="1">
      <alignment/>
      <protection hidden="1"/>
    </xf>
    <xf numFmtId="8" fontId="0" fillId="0" borderId="25" xfId="0" applyNumberFormat="1" applyFill="1" applyBorder="1" applyAlignment="1" applyProtection="1">
      <alignment/>
      <protection hidden="1"/>
    </xf>
    <xf numFmtId="8" fontId="0" fillId="2" borderId="0" xfId="0" applyNumberFormat="1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 horizontal="center"/>
      <protection hidden="1"/>
    </xf>
    <xf numFmtId="10" fontId="0" fillId="0" borderId="22" xfId="21" applyNumberFormat="1" applyFill="1" applyBorder="1" applyAlignment="1" applyProtection="1">
      <alignment/>
      <protection hidden="1"/>
    </xf>
    <xf numFmtId="8" fontId="0" fillId="0" borderId="22" xfId="0" applyNumberFormat="1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10" fontId="0" fillId="0" borderId="22" xfId="0" applyNumberFormat="1" applyFill="1" applyBorder="1" applyAlignment="1" applyProtection="1">
      <alignment/>
      <protection hidden="1"/>
    </xf>
    <xf numFmtId="8" fontId="0" fillId="0" borderId="25" xfId="17" applyFill="1" applyBorder="1" applyAlignment="1" applyProtection="1">
      <alignment/>
      <protection hidden="1"/>
    </xf>
    <xf numFmtId="8" fontId="0" fillId="0" borderId="7" xfId="0" applyNumberFormat="1" applyFill="1" applyBorder="1" applyAlignment="1" applyProtection="1">
      <alignment/>
      <protection hidden="1"/>
    </xf>
    <xf numFmtId="8" fontId="0" fillId="0" borderId="27" xfId="0" applyNumberFormat="1" applyFill="1" applyBorder="1" applyAlignment="1" applyProtection="1">
      <alignment/>
      <protection hidden="1"/>
    </xf>
    <xf numFmtId="8" fontId="0" fillId="0" borderId="29" xfId="0" applyNumberFormat="1" applyFill="1" applyBorder="1" applyAlignment="1" applyProtection="1">
      <alignment/>
      <protection hidden="1"/>
    </xf>
    <xf numFmtId="10" fontId="0" fillId="0" borderId="27" xfId="21" applyNumberFormat="1" applyFill="1" applyBorder="1" applyAlignment="1" applyProtection="1">
      <alignment/>
      <protection hidden="1"/>
    </xf>
    <xf numFmtId="8" fontId="0" fillId="0" borderId="27" xfId="0" applyNumberFormat="1" applyFill="1" applyBorder="1" applyAlignment="1" applyProtection="1">
      <alignment/>
      <protection hidden="1"/>
    </xf>
    <xf numFmtId="10" fontId="0" fillId="0" borderId="27" xfId="0" applyNumberFormat="1" applyFill="1" applyBorder="1" applyAlignment="1" applyProtection="1">
      <alignment/>
      <protection hidden="1"/>
    </xf>
    <xf numFmtId="8" fontId="0" fillId="0" borderId="29" xfId="0" applyNumberFormat="1" applyFill="1" applyBorder="1" applyAlignment="1" applyProtection="1">
      <alignment/>
      <protection hidden="1"/>
    </xf>
    <xf numFmtId="10" fontId="0" fillId="0" borderId="23" xfId="0" applyNumberFormat="1" applyFill="1" applyBorder="1" applyAlignment="1" applyProtection="1">
      <alignment/>
      <protection hidden="1"/>
    </xf>
    <xf numFmtId="8" fontId="0" fillId="0" borderId="28" xfId="0" applyNumberFormat="1" applyFill="1" applyBorder="1" applyAlignment="1" applyProtection="1">
      <alignment/>
      <protection hidden="1"/>
    </xf>
    <xf numFmtId="10" fontId="0" fillId="0" borderId="23" xfId="21" applyNumberFormat="1" applyFill="1" applyBorder="1" applyAlignment="1" applyProtection="1">
      <alignment/>
      <protection hidden="1"/>
    </xf>
    <xf numFmtId="8" fontId="0" fillId="0" borderId="23" xfId="0" applyNumberFormat="1" applyFill="1" applyBorder="1" applyAlignment="1" applyProtection="1">
      <alignment/>
      <protection hidden="1"/>
    </xf>
    <xf numFmtId="0" fontId="0" fillId="0" borderId="26" xfId="0" applyNumberFormat="1" applyFill="1" applyBorder="1" applyAlignment="1" applyProtection="1">
      <alignment horizontal="center"/>
      <protection hidden="1"/>
    </xf>
    <xf numFmtId="8" fontId="0" fillId="0" borderId="26" xfId="0" applyNumberFormat="1" applyFill="1" applyBorder="1" applyAlignment="1" applyProtection="1">
      <alignment/>
      <protection hidden="1"/>
    </xf>
    <xf numFmtId="8" fontId="0" fillId="0" borderId="23" xfId="0" applyNumberFormat="1" applyFill="1" applyBorder="1" applyAlignment="1" applyProtection="1">
      <alignment/>
      <protection hidden="1"/>
    </xf>
    <xf numFmtId="8" fontId="0" fillId="0" borderId="28" xfId="0" applyNumberForma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1" fillId="0" borderId="3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49" fontId="11" fillId="0" borderId="30" xfId="15" applyNumberFormat="1" applyFont="1" applyFill="1" applyBorder="1" applyAlignment="1" applyProtection="1">
      <alignment horizontal="center"/>
      <protection hidden="1"/>
    </xf>
    <xf numFmtId="0" fontId="11" fillId="0" borderId="31" xfId="0" applyFont="1" applyFill="1" applyBorder="1" applyAlignment="1" applyProtection="1">
      <alignment horizontal="center"/>
      <protection hidden="1"/>
    </xf>
    <xf numFmtId="49" fontId="11" fillId="0" borderId="31" xfId="15" applyNumberFormat="1" applyFont="1" applyFill="1" applyBorder="1" applyAlignment="1" applyProtection="1">
      <alignment horizontal="center"/>
      <protection hidden="1"/>
    </xf>
    <xf numFmtId="0" fontId="11" fillId="0" borderId="32" xfId="0" applyFont="1" applyFill="1" applyBorder="1" applyAlignment="1" applyProtection="1">
      <alignment horizontal="center"/>
      <protection hidden="1"/>
    </xf>
    <xf numFmtId="187" fontId="11" fillId="0" borderId="32" xfId="17" applyNumberFormat="1" applyFont="1" applyFill="1" applyBorder="1" applyAlignment="1" applyProtection="1">
      <alignment horizontal="center"/>
      <protection hidden="1"/>
    </xf>
    <xf numFmtId="3" fontId="12" fillId="0" borderId="30" xfId="0" applyNumberFormat="1" applyFont="1" applyFill="1" applyBorder="1" applyAlignment="1" applyProtection="1">
      <alignment horizontal="center"/>
      <protection hidden="1"/>
    </xf>
    <xf numFmtId="8" fontId="12" fillId="0" borderId="30" xfId="17" applyFont="1" applyFill="1" applyBorder="1" applyAlignment="1" applyProtection="1">
      <alignment horizontal="center"/>
      <protection hidden="1"/>
    </xf>
    <xf numFmtId="3" fontId="12" fillId="0" borderId="31" xfId="0" applyNumberFormat="1" applyFont="1" applyFill="1" applyBorder="1" applyAlignment="1" applyProtection="1">
      <alignment horizontal="center"/>
      <protection hidden="1"/>
    </xf>
    <xf numFmtId="0" fontId="12" fillId="0" borderId="31" xfId="0" applyFont="1" applyFill="1" applyBorder="1" applyAlignment="1" applyProtection="1">
      <alignment horizontal="center"/>
      <protection hidden="1"/>
    </xf>
    <xf numFmtId="8" fontId="12" fillId="0" borderId="31" xfId="17" applyFont="1" applyFill="1" applyBorder="1" applyAlignment="1" applyProtection="1">
      <alignment horizontal="center"/>
      <protection hidden="1"/>
    </xf>
    <xf numFmtId="3" fontId="12" fillId="0" borderId="32" xfId="0" applyNumberFormat="1" applyFont="1" applyFill="1" applyBorder="1" applyAlignment="1" applyProtection="1">
      <alignment horizontal="center"/>
      <protection hidden="1"/>
    </xf>
    <xf numFmtId="8" fontId="12" fillId="0" borderId="32" xfId="17" applyFont="1" applyFill="1" applyBorder="1" applyAlignment="1" applyProtection="1">
      <alignment horizontal="center"/>
      <protection hidden="1"/>
    </xf>
    <xf numFmtId="3" fontId="24" fillId="0" borderId="31" xfId="0" applyNumberFormat="1" applyFont="1" applyFill="1" applyBorder="1" applyAlignment="1" applyProtection="1">
      <alignment horizontal="center"/>
      <protection hidden="1"/>
    </xf>
    <xf numFmtId="187" fontId="7" fillId="2" borderId="0" xfId="17" applyNumberFormat="1" applyFont="1" applyFill="1" applyAlignment="1" applyProtection="1">
      <alignment horizontal="center"/>
      <protection hidden="1"/>
    </xf>
    <xf numFmtId="49" fontId="11" fillId="0" borderId="30" xfId="17" applyNumberFormat="1" applyFont="1" applyFill="1" applyBorder="1" applyAlignment="1" applyProtection="1">
      <alignment horizontal="center"/>
      <protection hidden="1"/>
    </xf>
    <xf numFmtId="49" fontId="11" fillId="0" borderId="31" xfId="17" applyNumberFormat="1" applyFont="1" applyFill="1" applyBorder="1" applyAlignment="1" applyProtection="1">
      <alignment horizontal="center"/>
      <protection hidden="1"/>
    </xf>
    <xf numFmtId="188" fontId="11" fillId="0" borderId="32" xfId="17" applyNumberFormat="1" applyFont="1" applyFill="1" applyBorder="1" applyAlignment="1" applyProtection="1">
      <alignment horizontal="center"/>
      <protection hidden="1"/>
    </xf>
    <xf numFmtId="0" fontId="11" fillId="0" borderId="33" xfId="0" applyFont="1" applyFill="1" applyBorder="1" applyAlignment="1" applyProtection="1">
      <alignment horizontal="center"/>
      <protection hidden="1"/>
    </xf>
    <xf numFmtId="187" fontId="10" fillId="0" borderId="34" xfId="0" applyNumberFormat="1" applyFont="1" applyFill="1" applyBorder="1" applyAlignment="1" applyProtection="1">
      <alignment/>
      <protection hidden="1"/>
    </xf>
    <xf numFmtId="187" fontId="12" fillId="0" borderId="33" xfId="17" applyNumberFormat="1" applyFont="1" applyFill="1" applyBorder="1" applyAlignment="1" applyProtection="1">
      <alignment horizontal="center"/>
      <protection hidden="1"/>
    </xf>
    <xf numFmtId="0" fontId="11" fillId="0" borderId="35" xfId="0" applyFont="1" applyFill="1" applyBorder="1" applyAlignment="1" applyProtection="1">
      <alignment horizontal="center"/>
      <protection hidden="1"/>
    </xf>
    <xf numFmtId="187" fontId="10" fillId="0" borderId="33" xfId="0" applyNumberFormat="1" applyFont="1" applyFill="1" applyBorder="1" applyAlignment="1" applyProtection="1">
      <alignment horizontal="center"/>
      <protection hidden="1"/>
    </xf>
    <xf numFmtId="187" fontId="12" fillId="0" borderId="35" xfId="17" applyNumberFormat="1" applyFont="1" applyFill="1" applyBorder="1" applyAlignment="1" applyProtection="1">
      <alignment horizontal="center"/>
      <protection hidden="1"/>
    </xf>
    <xf numFmtId="187" fontId="10" fillId="0" borderId="32" xfId="0" applyNumberFormat="1" applyFont="1" applyFill="1" applyBorder="1" applyAlignment="1" applyProtection="1">
      <alignment horizontal="center"/>
      <protection hidden="1"/>
    </xf>
    <xf numFmtId="0" fontId="11" fillId="0" borderId="36" xfId="0" applyFont="1" applyFill="1" applyBorder="1" applyAlignment="1" applyProtection="1">
      <alignment horizontal="center"/>
      <protection hidden="1"/>
    </xf>
    <xf numFmtId="187" fontId="10" fillId="0" borderId="36" xfId="0" applyNumberFormat="1" applyFont="1" applyFill="1" applyBorder="1" applyAlignment="1" applyProtection="1">
      <alignment horizontal="center"/>
      <protection hidden="1"/>
    </xf>
    <xf numFmtId="187" fontId="12" fillId="0" borderId="36" xfId="0" applyNumberFormat="1" applyFont="1" applyFill="1" applyBorder="1" applyAlignment="1" applyProtection="1">
      <alignment horizontal="center"/>
      <protection hidden="1"/>
    </xf>
    <xf numFmtId="0" fontId="11" fillId="0" borderId="30" xfId="0" applyFont="1" applyFill="1" applyBorder="1" applyAlignment="1" applyProtection="1">
      <alignment horizontal="center" wrapText="1"/>
      <protection hidden="1"/>
    </xf>
    <xf numFmtId="187" fontId="11" fillId="0" borderId="30" xfId="17" applyNumberFormat="1" applyFont="1" applyFill="1" applyBorder="1" applyAlignment="1" applyProtection="1">
      <alignment horizontal="center"/>
      <protection hidden="1"/>
    </xf>
    <xf numFmtId="0" fontId="11" fillId="0" borderId="31" xfId="0" applyFont="1" applyFill="1" applyBorder="1" applyAlignment="1" applyProtection="1">
      <alignment horizontal="center" wrapText="1"/>
      <protection hidden="1"/>
    </xf>
    <xf numFmtId="187" fontId="11" fillId="0" borderId="31" xfId="17" applyNumberFormat="1" applyFont="1" applyFill="1" applyBorder="1" applyAlignment="1" applyProtection="1">
      <alignment horizontal="center"/>
      <protection hidden="1"/>
    </xf>
    <xf numFmtId="0" fontId="11" fillId="0" borderId="32" xfId="0" applyFont="1" applyFill="1" applyBorder="1" applyAlignment="1" applyProtection="1">
      <alignment horizontal="center" wrapText="1"/>
      <protection hidden="1"/>
    </xf>
    <xf numFmtId="0" fontId="11" fillId="0" borderId="34" xfId="0" applyFont="1" applyFill="1" applyBorder="1" applyAlignment="1" applyProtection="1">
      <alignment horizontal="center" wrapText="1"/>
      <protection hidden="1"/>
    </xf>
    <xf numFmtId="0" fontId="11" fillId="0" borderId="37" xfId="0" applyFont="1" applyFill="1" applyBorder="1" applyAlignment="1" applyProtection="1">
      <alignment horizontal="center" wrapText="1"/>
      <protection hidden="1"/>
    </xf>
    <xf numFmtId="8" fontId="12" fillId="0" borderId="37" xfId="17" applyFont="1" applyFill="1" applyBorder="1" applyAlignment="1" applyProtection="1">
      <alignment horizontal="center" wrapText="1"/>
      <protection hidden="1"/>
    </xf>
    <xf numFmtId="8" fontId="12" fillId="0" borderId="33" xfId="17" applyNumberFormat="1" applyFont="1" applyFill="1" applyBorder="1" applyAlignment="1" applyProtection="1">
      <alignment horizontal="center"/>
      <protection hidden="1"/>
    </xf>
    <xf numFmtId="0" fontId="11" fillId="0" borderId="38" xfId="0" applyFont="1" applyFill="1" applyBorder="1" applyAlignment="1" applyProtection="1">
      <alignment horizontal="center" wrapText="1"/>
      <protection hidden="1"/>
    </xf>
    <xf numFmtId="8" fontId="12" fillId="0" borderId="38" xfId="17" applyFont="1" applyFill="1" applyBorder="1" applyAlignment="1" applyProtection="1">
      <alignment horizontal="center" wrapText="1"/>
      <protection hidden="1"/>
    </xf>
    <xf numFmtId="8" fontId="12" fillId="0" borderId="35" xfId="17" applyNumberFormat="1" applyFont="1" applyFill="1" applyBorder="1" applyAlignment="1" applyProtection="1">
      <alignment horizontal="center"/>
      <protection hidden="1"/>
    </xf>
    <xf numFmtId="0" fontId="11" fillId="0" borderId="39" xfId="0" applyFont="1" applyFill="1" applyBorder="1" applyAlignment="1" applyProtection="1">
      <alignment horizontal="center" wrapText="1"/>
      <protection hidden="1"/>
    </xf>
    <xf numFmtId="8" fontId="12" fillId="0" borderId="39" xfId="17" applyFont="1" applyFill="1" applyBorder="1" applyAlignment="1" applyProtection="1">
      <alignment horizontal="center" wrapText="1"/>
      <protection hidden="1"/>
    </xf>
    <xf numFmtId="8" fontId="12" fillId="0" borderId="40" xfId="17" applyFont="1" applyFill="1" applyBorder="1" applyAlignment="1" applyProtection="1">
      <alignment horizontal="center" wrapText="1"/>
      <protection hidden="1"/>
    </xf>
    <xf numFmtId="8" fontId="12" fillId="0" borderId="41" xfId="17" applyNumberFormat="1" applyFont="1" applyFill="1" applyBorder="1" applyAlignment="1" applyProtection="1">
      <alignment horizontal="center"/>
      <protection hidden="1"/>
    </xf>
    <xf numFmtId="0" fontId="11" fillId="0" borderId="42" xfId="0" applyFont="1" applyFill="1" applyBorder="1" applyAlignment="1" applyProtection="1">
      <alignment horizontal="center"/>
      <protection hidden="1"/>
    </xf>
    <xf numFmtId="8" fontId="12" fillId="0" borderId="34" xfId="0" applyNumberFormat="1" applyFont="1" applyFill="1" applyBorder="1" applyAlignment="1" applyProtection="1">
      <alignment horizontal="center"/>
      <protection hidden="1"/>
    </xf>
    <xf numFmtId="8" fontId="12" fillId="0" borderId="34" xfId="17" applyNumberFormat="1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/>
      <protection hidden="1"/>
    </xf>
    <xf numFmtId="8" fontId="12" fillId="0" borderId="32" xfId="0" applyNumberFormat="1" applyFont="1" applyFill="1" applyBorder="1" applyAlignment="1" applyProtection="1">
      <alignment horizontal="center"/>
      <protection hidden="1"/>
    </xf>
    <xf numFmtId="8" fontId="12" fillId="0" borderId="32" xfId="17" applyNumberFormat="1" applyFont="1" applyFill="1" applyBorder="1" applyAlignment="1" applyProtection="1">
      <alignment horizontal="center"/>
      <protection hidden="1"/>
    </xf>
    <xf numFmtId="165" fontId="12" fillId="0" borderId="37" xfId="0" applyNumberFormat="1" applyFont="1" applyFill="1" applyBorder="1" applyAlignment="1" applyProtection="1">
      <alignment horizontal="center" wrapText="1"/>
      <protection hidden="1"/>
    </xf>
    <xf numFmtId="165" fontId="12" fillId="2" borderId="0" xfId="0" applyNumberFormat="1" applyFont="1" applyFill="1" applyAlignment="1" applyProtection="1">
      <alignment/>
      <protection hidden="1"/>
    </xf>
    <xf numFmtId="165" fontId="12" fillId="0" borderId="33" xfId="21" applyNumberFormat="1" applyFont="1" applyFill="1" applyBorder="1" applyAlignment="1" applyProtection="1">
      <alignment horizontal="center"/>
      <protection hidden="1"/>
    </xf>
    <xf numFmtId="165" fontId="12" fillId="0" borderId="33" xfId="0" applyNumberFormat="1" applyFont="1" applyFill="1" applyBorder="1" applyAlignment="1" applyProtection="1">
      <alignment horizontal="center"/>
      <protection hidden="1"/>
    </xf>
    <xf numFmtId="165" fontId="12" fillId="0" borderId="35" xfId="0" applyNumberFormat="1" applyFont="1" applyFill="1" applyBorder="1" applyAlignment="1" applyProtection="1">
      <alignment/>
      <protection hidden="1"/>
    </xf>
    <xf numFmtId="165" fontId="12" fillId="0" borderId="35" xfId="21" applyNumberFormat="1" applyFont="1" applyFill="1" applyBorder="1" applyAlignment="1" applyProtection="1">
      <alignment horizontal="center"/>
      <protection hidden="1"/>
    </xf>
    <xf numFmtId="165" fontId="12" fillId="0" borderId="38" xfId="0" applyNumberFormat="1" applyFont="1" applyFill="1" applyBorder="1" applyAlignment="1" applyProtection="1">
      <alignment horizontal="center" wrapText="1"/>
      <protection hidden="1"/>
    </xf>
    <xf numFmtId="165" fontId="12" fillId="0" borderId="39" xfId="0" applyNumberFormat="1" applyFont="1" applyFill="1" applyBorder="1" applyAlignment="1" applyProtection="1">
      <alignment horizontal="center" wrapText="1"/>
      <protection hidden="1"/>
    </xf>
    <xf numFmtId="165" fontId="12" fillId="0" borderId="43" xfId="0" applyNumberFormat="1" applyFont="1" applyFill="1" applyBorder="1" applyAlignment="1" applyProtection="1">
      <alignment/>
      <protection hidden="1"/>
    </xf>
    <xf numFmtId="165" fontId="12" fillId="0" borderId="41" xfId="21" applyNumberFormat="1" applyFont="1" applyFill="1" applyBorder="1" applyAlignment="1" applyProtection="1">
      <alignment horizontal="center"/>
      <protection hidden="1"/>
    </xf>
    <xf numFmtId="0" fontId="11" fillId="0" borderId="44" xfId="0" applyFont="1" applyFill="1" applyBorder="1" applyAlignment="1" applyProtection="1">
      <alignment horizontal="center" wrapText="1"/>
      <protection hidden="1"/>
    </xf>
    <xf numFmtId="165" fontId="12" fillId="0" borderId="44" xfId="0" applyNumberFormat="1" applyFont="1" applyFill="1" applyBorder="1" applyAlignment="1" applyProtection="1">
      <alignment horizontal="center" wrapText="1"/>
      <protection hidden="1"/>
    </xf>
    <xf numFmtId="0" fontId="11" fillId="0" borderId="40" xfId="0" applyFont="1" applyFill="1" applyBorder="1" applyAlignment="1" applyProtection="1">
      <alignment horizontal="center" wrapText="1"/>
      <protection hidden="1"/>
    </xf>
    <xf numFmtId="165" fontId="12" fillId="0" borderId="40" xfId="0" applyNumberFormat="1" applyFont="1" applyFill="1" applyBorder="1" applyAlignment="1" applyProtection="1">
      <alignment horizontal="center" wrapText="1"/>
      <protection hidden="1"/>
    </xf>
    <xf numFmtId="0" fontId="11" fillId="0" borderId="36" xfId="0" applyNumberFormat="1" applyFont="1" applyFill="1" applyBorder="1" applyAlignment="1" applyProtection="1">
      <alignment horizontal="centerContinuous"/>
      <protection hidden="1"/>
    </xf>
    <xf numFmtId="3" fontId="12" fillId="0" borderId="2" xfId="0" applyNumberFormat="1" applyFont="1" applyFill="1" applyBorder="1" applyAlignment="1" applyProtection="1">
      <alignment horizontal="centerContinuous"/>
      <protection hidden="1"/>
    </xf>
    <xf numFmtId="0" fontId="11" fillId="0" borderId="30" xfId="0" applyNumberFormat="1" applyFont="1" applyFill="1" applyBorder="1" applyAlignment="1" applyProtection="1">
      <alignment horizontal="centerContinuous"/>
      <protection hidden="1"/>
    </xf>
    <xf numFmtId="0" fontId="12" fillId="0" borderId="5" xfId="0" applyNumberFormat="1" applyFont="1" applyFill="1" applyBorder="1" applyAlignment="1" applyProtection="1">
      <alignment horizontal="centerContinuous"/>
      <protection hidden="1"/>
    </xf>
    <xf numFmtId="0" fontId="12" fillId="0" borderId="6" xfId="0" applyFont="1" applyFill="1" applyBorder="1" applyAlignment="1" applyProtection="1">
      <alignment horizontal="centerContinuous"/>
      <protection hidden="1"/>
    </xf>
    <xf numFmtId="9" fontId="14" fillId="0" borderId="4" xfId="21" applyFont="1" applyFill="1" applyBorder="1" applyAlignment="1" applyProtection="1">
      <alignment horizontal="right"/>
      <protection locked="0"/>
    </xf>
    <xf numFmtId="10" fontId="0" fillId="2" borderId="0" xfId="21" applyNumberFormat="1" applyFill="1" applyAlignment="1">
      <alignment horizontal="center"/>
    </xf>
    <xf numFmtId="15" fontId="10" fillId="0" borderId="7" xfId="0" applyNumberFormat="1" applyFont="1" applyFill="1" applyBorder="1" applyAlignment="1" applyProtection="1">
      <alignment horizontal="right"/>
      <protection hidden="1"/>
    </xf>
    <xf numFmtId="164" fontId="14" fillId="0" borderId="7" xfId="15" applyNumberFormat="1" applyFont="1" applyFill="1" applyBorder="1" applyAlignment="1" applyProtection="1">
      <alignment horizontal="right"/>
      <protection locked="0"/>
    </xf>
    <xf numFmtId="8" fontId="12" fillId="0" borderId="34" xfId="17" applyFont="1" applyFill="1" applyBorder="1" applyAlignment="1" applyProtection="1">
      <alignment horizontal="center" wrapText="1"/>
      <protection hidden="1"/>
    </xf>
    <xf numFmtId="8" fontId="12" fillId="0" borderId="34" xfId="17" applyFont="1" applyFill="1" applyBorder="1" applyAlignment="1" applyProtection="1">
      <alignment horizontal="center"/>
      <protection hidden="1"/>
    </xf>
    <xf numFmtId="3" fontId="7" fillId="2" borderId="0" xfId="0" applyNumberFormat="1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0" borderId="32" xfId="0" applyNumberFormat="1" applyFont="1" applyFill="1" applyBorder="1" applyAlignment="1" applyProtection="1">
      <alignment horizontal="center"/>
      <protection hidden="1"/>
    </xf>
    <xf numFmtId="8" fontId="12" fillId="0" borderId="33" xfId="17" applyFont="1" applyFill="1" applyBorder="1" applyAlignment="1" applyProtection="1">
      <alignment horizontal="center" wrapText="1"/>
      <protection hidden="1"/>
    </xf>
    <xf numFmtId="8" fontId="12" fillId="0" borderId="33" xfId="17" applyFont="1" applyFill="1" applyBorder="1" applyAlignment="1" applyProtection="1">
      <alignment horizontal="center"/>
      <protection hidden="1"/>
    </xf>
    <xf numFmtId="0" fontId="11" fillId="0" borderId="33" xfId="0" applyFont="1" applyFill="1" applyBorder="1" applyAlignment="1" applyProtection="1">
      <alignment horizontal="center" wrapText="1"/>
      <protection hidden="1"/>
    </xf>
    <xf numFmtId="165" fontId="12" fillId="0" borderId="34" xfId="21" applyNumberFormat="1" applyFont="1" applyFill="1" applyBorder="1" applyAlignment="1" applyProtection="1">
      <alignment horizontal="center" wrapText="1"/>
      <protection hidden="1"/>
    </xf>
    <xf numFmtId="165" fontId="12" fillId="0" borderId="34" xfId="21" applyNumberFormat="1" applyFont="1" applyFill="1" applyBorder="1" applyAlignment="1" applyProtection="1">
      <alignment horizontal="center"/>
      <protection hidden="1"/>
    </xf>
    <xf numFmtId="187" fontId="10" fillId="0" borderId="35" xfId="0" applyNumberFormat="1" applyFont="1" applyFill="1" applyBorder="1" applyAlignment="1" applyProtection="1">
      <alignment horizontal="center"/>
      <protection hidden="1"/>
    </xf>
    <xf numFmtId="3" fontId="12" fillId="0" borderId="8" xfId="0" applyNumberFormat="1" applyFont="1" applyFill="1" applyBorder="1" applyAlignment="1" applyProtection="1">
      <alignment horizontal="center"/>
      <protection hidden="1"/>
    </xf>
    <xf numFmtId="0" fontId="11" fillId="0" borderId="22" xfId="0" applyFont="1" applyFill="1" applyBorder="1" applyAlignment="1" applyProtection="1">
      <alignment horizontal="center"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3" fontId="12" fillId="0" borderId="6" xfId="0" applyNumberFormat="1" applyFont="1" applyFill="1" applyBorder="1" applyAlignment="1" applyProtection="1">
      <alignment horizontal="center"/>
      <protection hidden="1"/>
    </xf>
    <xf numFmtId="3" fontId="24" fillId="0" borderId="8" xfId="0" applyNumberFormat="1" applyFont="1" applyFill="1" applyBorder="1" applyAlignment="1" applyProtection="1">
      <alignment horizontal="center"/>
      <protection hidden="1"/>
    </xf>
    <xf numFmtId="3" fontId="12" fillId="0" borderId="10" xfId="0" applyNumberFormat="1" applyFont="1" applyFill="1" applyBorder="1" applyAlignment="1" applyProtection="1">
      <alignment horizontal="center"/>
      <protection hidden="1"/>
    </xf>
    <xf numFmtId="9" fontId="27" fillId="2" borderId="0" xfId="2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0" fontId="27" fillId="2" borderId="0" xfId="21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44" fontId="28" fillId="2" borderId="0" xfId="0" applyNumberFormat="1" applyFont="1" applyFill="1" applyBorder="1" applyAlignment="1">
      <alignment horizontal="right"/>
    </xf>
    <xf numFmtId="0" fontId="23" fillId="2" borderId="9" xfId="0" applyFont="1" applyFill="1" applyBorder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8" fontId="5" fillId="2" borderId="0" xfId="0" applyNumberFormat="1" applyFont="1" applyFill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45" xfId="0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 horizontal="center"/>
      <protection hidden="1"/>
    </xf>
    <xf numFmtId="0" fontId="15" fillId="2" borderId="6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R372"/>
  <sheetViews>
    <sheetView showGridLines="0" tabSelected="1" workbookViewId="0" topLeftCell="A1">
      <selection activeCell="A2" sqref="A2"/>
    </sheetView>
  </sheetViews>
  <sheetFormatPr defaultColWidth="9.00390625" defaultRowHeight="13.5" customHeight="1"/>
  <cols>
    <col min="1" max="1" width="1.875" style="1" customWidth="1"/>
    <col min="2" max="2" width="39.125" style="1" customWidth="1"/>
    <col min="3" max="3" width="21.125" style="1" customWidth="1"/>
    <col min="4" max="4" width="3.75390625" style="1" customWidth="1"/>
    <col min="5" max="5" width="43.25390625" style="1" customWidth="1"/>
    <col min="6" max="6" width="22.125" style="2" customWidth="1"/>
    <col min="7" max="7" width="2.125" style="1" customWidth="1"/>
    <col min="8" max="8" width="3.875" style="1" customWidth="1"/>
    <col min="9" max="9" width="4.875" style="1" customWidth="1"/>
    <col min="10" max="10" width="5.375" style="1" customWidth="1"/>
    <col min="11" max="11" width="11.25390625" style="1" bestFit="1" customWidth="1"/>
    <col min="12" max="12" width="12.125" style="1" customWidth="1"/>
    <col min="13" max="13" width="11.25390625" style="1" customWidth="1"/>
    <col min="14" max="14" width="14.00390625" style="1" customWidth="1"/>
    <col min="15" max="15" width="13.375" style="1" customWidth="1"/>
    <col min="16" max="16" width="12.75390625" style="1" bestFit="1" customWidth="1"/>
    <col min="17" max="16384" width="9.125" style="1" customWidth="1"/>
  </cols>
  <sheetData>
    <row r="1" ht="2.25" customHeight="1"/>
    <row r="2" spans="1:18" ht="26.25">
      <c r="A2" s="85"/>
      <c r="B2" s="73" t="s">
        <v>13</v>
      </c>
      <c r="C2" s="74"/>
      <c r="D2" s="74"/>
      <c r="E2" s="74"/>
      <c r="F2" s="75"/>
      <c r="G2" s="76"/>
      <c r="L2" s="3"/>
      <c r="M2" s="3"/>
      <c r="N2" s="3"/>
      <c r="O2" s="3"/>
      <c r="P2" s="3"/>
      <c r="Q2" s="3"/>
      <c r="R2" s="3"/>
    </row>
    <row r="3" spans="1:18" ht="12.75">
      <c r="A3" s="85"/>
      <c r="B3" s="77" t="s">
        <v>16</v>
      </c>
      <c r="C3" s="78"/>
      <c r="D3" s="78"/>
      <c r="E3" s="78"/>
      <c r="F3" s="78"/>
      <c r="G3" s="79"/>
      <c r="L3" s="3"/>
      <c r="M3" s="3"/>
      <c r="N3" s="3"/>
      <c r="O3" s="3"/>
      <c r="P3" s="3"/>
      <c r="Q3" s="3"/>
      <c r="R3" s="3"/>
    </row>
    <row r="4" spans="1:7" ht="13.5" customHeight="1" thickBot="1">
      <c r="A4" s="85"/>
      <c r="B4" s="246" t="s">
        <v>130</v>
      </c>
      <c r="C4" s="246"/>
      <c r="D4" s="246"/>
      <c r="E4" s="246"/>
      <c r="F4" s="246"/>
      <c r="G4" s="246"/>
    </row>
    <row r="5" spans="1:18" ht="18.75" thickBot="1">
      <c r="A5" s="85"/>
      <c r="B5" s="213" t="s">
        <v>33</v>
      </c>
      <c r="C5" s="214"/>
      <c r="D5" s="214"/>
      <c r="E5" s="215" t="s">
        <v>25</v>
      </c>
      <c r="F5" s="216"/>
      <c r="G5" s="217"/>
      <c r="L5" s="3"/>
      <c r="M5" s="3"/>
      <c r="N5" s="3"/>
      <c r="O5" s="3"/>
      <c r="P5" s="3"/>
      <c r="Q5" s="3"/>
      <c r="R5" s="3"/>
    </row>
    <row r="6" spans="2:18" ht="16.5" thickBot="1">
      <c r="B6" s="61" t="s">
        <v>121</v>
      </c>
      <c r="C6" s="9" t="s">
        <v>45</v>
      </c>
      <c r="D6" s="10"/>
      <c r="E6" s="61" t="s">
        <v>117</v>
      </c>
      <c r="F6" s="11" t="s">
        <v>61</v>
      </c>
      <c r="G6" s="12"/>
      <c r="L6" s="242" t="s">
        <v>106</v>
      </c>
      <c r="M6" s="241" t="s">
        <v>108</v>
      </c>
      <c r="N6" s="242" t="s">
        <v>109</v>
      </c>
      <c r="O6" s="243" t="s">
        <v>28</v>
      </c>
      <c r="P6" s="3"/>
      <c r="Q6" s="3"/>
      <c r="R6" s="3"/>
    </row>
    <row r="7" spans="2:18" ht="15.75">
      <c r="B7" s="62" t="s">
        <v>111</v>
      </c>
      <c r="C7" s="13">
        <v>200</v>
      </c>
      <c r="D7" s="14"/>
      <c r="E7" s="62" t="s">
        <v>118</v>
      </c>
      <c r="F7" s="34">
        <v>38534</v>
      </c>
      <c r="G7" s="15"/>
      <c r="L7" s="242" t="s">
        <v>128</v>
      </c>
      <c r="M7" s="241">
        <v>0.05</v>
      </c>
      <c r="N7" s="242">
        <v>1</v>
      </c>
      <c r="O7" s="243">
        <v>0.01</v>
      </c>
      <c r="P7" s="3"/>
      <c r="Q7" s="3"/>
      <c r="R7" s="3"/>
    </row>
    <row r="8" spans="2:18" ht="15.75">
      <c r="B8" s="63" t="s">
        <v>112</v>
      </c>
      <c r="C8" s="16">
        <v>85</v>
      </c>
      <c r="D8" s="17"/>
      <c r="E8" s="63" t="s">
        <v>91</v>
      </c>
      <c r="F8" s="220" t="str">
        <f>IF(OR(F6="SSR",F6="AKV"),("January 31, 2052"),("January 31, 2042"))</f>
        <v>January 31, 2052</v>
      </c>
      <c r="G8" s="18"/>
      <c r="L8" s="242" t="s">
        <v>59</v>
      </c>
      <c r="M8" s="241">
        <v>0.1</v>
      </c>
      <c r="N8" s="242">
        <v>3</v>
      </c>
      <c r="O8" s="243">
        <v>0.015</v>
      </c>
      <c r="P8" s="3"/>
      <c r="Q8" s="3"/>
      <c r="R8" s="3"/>
    </row>
    <row r="9" spans="2:18" ht="15.75" thickBot="1">
      <c r="B9" s="64" t="s">
        <v>113</v>
      </c>
      <c r="C9" s="38">
        <f>+C8*C7</f>
        <v>17000</v>
      </c>
      <c r="D9" s="19"/>
      <c r="E9" s="64" t="s">
        <v>18</v>
      </c>
      <c r="F9" s="47">
        <f>ROUNDDOWN((F8-F7)/365,0)</f>
        <v>46</v>
      </c>
      <c r="G9" s="20"/>
      <c r="L9" s="242" t="s">
        <v>57</v>
      </c>
      <c r="M9" s="241">
        <v>0.15</v>
      </c>
      <c r="N9" s="242">
        <v>5</v>
      </c>
      <c r="O9" s="243">
        <v>0.02</v>
      </c>
      <c r="P9" s="3"/>
      <c r="Q9" s="3"/>
      <c r="R9" s="3"/>
    </row>
    <row r="10" spans="2:18" ht="15.75">
      <c r="B10" s="69" t="s">
        <v>114</v>
      </c>
      <c r="C10" s="218">
        <v>1</v>
      </c>
      <c r="D10" s="21"/>
      <c r="E10" s="62" t="s">
        <v>17</v>
      </c>
      <c r="F10" s="48">
        <f>VLOOKUP(F6,'DVC Resort Info'!T8:U8,2)</f>
        <v>4.62</v>
      </c>
      <c r="G10" s="15"/>
      <c r="L10" s="242" t="s">
        <v>60</v>
      </c>
      <c r="M10" s="241">
        <v>0.2</v>
      </c>
      <c r="N10" s="242">
        <v>7</v>
      </c>
      <c r="O10" s="243">
        <v>0.025</v>
      </c>
      <c r="P10" s="3"/>
      <c r="Q10" s="3"/>
      <c r="R10" s="3"/>
    </row>
    <row r="11" spans="2:18" ht="15">
      <c r="B11" s="70" t="s">
        <v>87</v>
      </c>
      <c r="C11" s="39">
        <f>IF(C6="DVC",ROUNDUP((C7*C8)*(C10),1),(ROUNDUP((C7*C8)*(C10),1))+450)</f>
        <v>17000</v>
      </c>
      <c r="D11" s="22"/>
      <c r="E11" s="63" t="s">
        <v>90</v>
      </c>
      <c r="F11" s="42">
        <f>+F10*C7</f>
        <v>924</v>
      </c>
      <c r="G11" s="18"/>
      <c r="H11" s="3"/>
      <c r="I11" s="3"/>
      <c r="L11" s="242" t="s">
        <v>58</v>
      </c>
      <c r="M11" s="241">
        <v>0.25</v>
      </c>
      <c r="N11" s="242">
        <v>10</v>
      </c>
      <c r="O11" s="243">
        <v>0.03</v>
      </c>
      <c r="P11" s="3"/>
      <c r="Q11" s="3"/>
      <c r="R11" s="3"/>
    </row>
    <row r="12" spans="2:18" ht="15.75">
      <c r="B12" s="70" t="s">
        <v>20</v>
      </c>
      <c r="C12" s="40">
        <f>ROUNDUP((C9-C11),1)</f>
        <v>0</v>
      </c>
      <c r="D12" s="23"/>
      <c r="E12" s="63" t="s">
        <v>119</v>
      </c>
      <c r="F12" s="35">
        <v>0.01</v>
      </c>
      <c r="G12" s="18"/>
      <c r="H12" s="3"/>
      <c r="I12" s="3"/>
      <c r="L12" s="242" t="s">
        <v>61</v>
      </c>
      <c r="M12" s="241">
        <v>0.3</v>
      </c>
      <c r="N12" s="242">
        <v>15</v>
      </c>
      <c r="O12" s="243">
        <v>0.035</v>
      </c>
      <c r="P12" s="3"/>
      <c r="Q12" s="3"/>
      <c r="R12" s="3"/>
    </row>
    <row r="13" spans="2:18" ht="15.75">
      <c r="B13" s="70" t="s">
        <v>83</v>
      </c>
      <c r="C13" s="24">
        <v>10.75</v>
      </c>
      <c r="D13" s="25"/>
      <c r="E13" s="65" t="s">
        <v>120</v>
      </c>
      <c r="F13" s="49">
        <f>+'DVC Resort Info'!L98</f>
        <v>0.03044336376651078</v>
      </c>
      <c r="G13" s="50"/>
      <c r="H13" s="3"/>
      <c r="I13" s="3"/>
      <c r="L13" s="242" t="s">
        <v>62</v>
      </c>
      <c r="M13" s="241">
        <v>0.35</v>
      </c>
      <c r="N13" s="242">
        <v>20</v>
      </c>
      <c r="O13" s="243">
        <v>0.04</v>
      </c>
      <c r="P13" s="3"/>
      <c r="Q13" s="3"/>
      <c r="R13" s="3"/>
    </row>
    <row r="14" spans="2:18" ht="15.75">
      <c r="B14" s="70" t="s">
        <v>115</v>
      </c>
      <c r="C14" s="221">
        <v>7</v>
      </c>
      <c r="D14" s="26"/>
      <c r="E14" s="63" t="s">
        <v>102</v>
      </c>
      <c r="F14" s="42">
        <f>IF(OR(F6="SSR",F6="AKV"),('Amort Tables'!M59),('Amort Tables'!M49))</f>
        <v>13363.980338374684</v>
      </c>
      <c r="G14" s="51"/>
      <c r="L14" s="242" t="s">
        <v>68</v>
      </c>
      <c r="M14" s="241">
        <v>0.4</v>
      </c>
      <c r="N14" s="242">
        <v>25</v>
      </c>
      <c r="O14" s="243">
        <v>0.045</v>
      </c>
      <c r="P14" s="3"/>
      <c r="Q14" s="3"/>
      <c r="R14" s="3"/>
    </row>
    <row r="15" spans="2:18" ht="15">
      <c r="B15" s="70" t="s">
        <v>21</v>
      </c>
      <c r="C15" s="41">
        <v>12</v>
      </c>
      <c r="D15" s="27"/>
      <c r="E15" s="63" t="s">
        <v>97</v>
      </c>
      <c r="F15" s="42">
        <f>+F11*F9+Effective_Average_Inflation_Factor</f>
        <v>55867.980338374684</v>
      </c>
      <c r="G15" s="52"/>
      <c r="H15" s="3"/>
      <c r="I15" s="3"/>
      <c r="J15" s="4"/>
      <c r="L15" s="242" t="s">
        <v>110</v>
      </c>
      <c r="M15" s="241">
        <v>0.5</v>
      </c>
      <c r="N15" s="242">
        <v>30</v>
      </c>
      <c r="O15" s="243">
        <v>0.05</v>
      </c>
      <c r="P15" s="3"/>
      <c r="Q15" s="3"/>
      <c r="R15" s="3"/>
    </row>
    <row r="16" spans="2:18" ht="15.75">
      <c r="B16" s="70" t="s">
        <v>22</v>
      </c>
      <c r="C16" s="41">
        <f>Period*C14</f>
        <v>84</v>
      </c>
      <c r="D16" s="28"/>
      <c r="E16" s="66" t="s">
        <v>89</v>
      </c>
      <c r="F16" s="53">
        <f>IF(C14&lt;31,((C9+C17)+F15),"Too Many Years")</f>
        <v>72867.98033837468</v>
      </c>
      <c r="G16" s="54"/>
      <c r="H16" s="3"/>
      <c r="I16" s="3"/>
      <c r="L16" s="242" t="s">
        <v>45</v>
      </c>
      <c r="M16" s="241">
        <v>0.75</v>
      </c>
      <c r="N16" s="242"/>
      <c r="O16" s="243">
        <v>0.055</v>
      </c>
      <c r="P16" s="3"/>
      <c r="Q16" s="3"/>
      <c r="R16" s="3"/>
    </row>
    <row r="17" spans="2:18" ht="15">
      <c r="B17" s="70" t="s">
        <v>88</v>
      </c>
      <c r="C17" s="42">
        <f>IF(C14&lt;31,ROUNDUP('Amort Tables'!G5,1),"Too Many Years")</f>
        <v>0</v>
      </c>
      <c r="D17" s="28"/>
      <c r="E17" s="63" t="s">
        <v>92</v>
      </c>
      <c r="F17" s="43">
        <f>VLOOKUP(F9,'Amort Tables'!O10:P49,2)</f>
        <v>22686.565901642967</v>
      </c>
      <c r="G17" s="51"/>
      <c r="H17" s="3"/>
      <c r="I17" s="3"/>
      <c r="L17" s="242" t="s">
        <v>107</v>
      </c>
      <c r="M17" s="241">
        <v>1</v>
      </c>
      <c r="N17" s="242"/>
      <c r="O17" s="243">
        <v>0.06</v>
      </c>
      <c r="P17" s="3"/>
      <c r="Q17" s="3"/>
      <c r="R17" s="3"/>
    </row>
    <row r="18" spans="2:18" ht="15">
      <c r="B18" s="70" t="s">
        <v>116</v>
      </c>
      <c r="C18" s="43">
        <f>IF(C14&lt;31,(C17+C9),"Too Many Years")</f>
        <v>17000</v>
      </c>
      <c r="D18" s="29"/>
      <c r="E18" s="63" t="s">
        <v>34</v>
      </c>
      <c r="F18" s="43">
        <f>+F17/F9</f>
        <v>493.186215253108</v>
      </c>
      <c r="G18" s="51"/>
      <c r="H18" s="3"/>
      <c r="I18" s="3"/>
      <c r="L18" s="3"/>
      <c r="M18" s="3"/>
      <c r="N18" s="3"/>
      <c r="O18" s="219"/>
      <c r="P18" s="3"/>
      <c r="Q18" s="3"/>
      <c r="R18" s="3"/>
    </row>
    <row r="19" spans="1:18" ht="15.75" thickBot="1">
      <c r="A19" s="5"/>
      <c r="B19" s="70" t="s">
        <v>23</v>
      </c>
      <c r="C19" s="44" t="str">
        <f>IF(Principal=0,"Not Applicable",F7+46)</f>
        <v>Not Applicable</v>
      </c>
      <c r="D19" s="30"/>
      <c r="E19" s="64" t="s">
        <v>35</v>
      </c>
      <c r="F19" s="55">
        <f>IF(C14&lt;31,((C17/F9)*0.2),"Too Many Years")</f>
        <v>0</v>
      </c>
      <c r="G19" s="56"/>
      <c r="L19" s="3"/>
      <c r="M19" s="3"/>
      <c r="N19" s="3"/>
      <c r="O19" s="219"/>
      <c r="P19" s="3"/>
      <c r="Q19" s="3"/>
      <c r="R19" s="3"/>
    </row>
    <row r="20" spans="2:18" ht="15.75">
      <c r="B20" s="71" t="s">
        <v>81</v>
      </c>
      <c r="C20" s="45">
        <f>IF(C14&lt;31,(ABS(PMT((Rate/100)/Period,no_of_payments,Principal))),"Too Many Years")</f>
        <v>0</v>
      </c>
      <c r="D20" s="31"/>
      <c r="E20" s="67" t="s">
        <v>95</v>
      </c>
      <c r="F20" s="57">
        <f>IF(C14&lt;31,(+F16/F9-F19+F18),"Too Many Years")</f>
        <v>2077.27274434821</v>
      </c>
      <c r="G20" s="58"/>
      <c r="L20" s="3"/>
      <c r="M20" s="3"/>
      <c r="N20" s="3"/>
      <c r="O20" s="3"/>
      <c r="P20" s="3"/>
      <c r="Q20" s="3"/>
      <c r="R20" s="3"/>
    </row>
    <row r="21" spans="2:18" ht="16.5" thickBot="1">
      <c r="B21" s="72" t="s">
        <v>80</v>
      </c>
      <c r="C21" s="46">
        <f>IF(C14&lt;31,(Payment+(F11/12)),"Too Many Years")</f>
        <v>77</v>
      </c>
      <c r="D21" s="32"/>
      <c r="E21" s="68" t="s">
        <v>96</v>
      </c>
      <c r="F21" s="59">
        <f>IF(C14&lt;31,(F20-F18),"Too Many Years")</f>
        <v>1584.086529095102</v>
      </c>
      <c r="G21" s="60"/>
      <c r="M21" s="3"/>
      <c r="N21" s="3"/>
      <c r="O21" s="3"/>
      <c r="P21" s="3"/>
      <c r="Q21" s="3"/>
      <c r="R21" s="3"/>
    </row>
    <row r="22" spans="2:18" ht="15.75">
      <c r="B22" s="80"/>
      <c r="C22" s="81"/>
      <c r="D22" s="81"/>
      <c r="E22" s="80"/>
      <c r="F22" s="82"/>
      <c r="G22" s="83"/>
      <c r="M22" s="3"/>
      <c r="N22" s="3"/>
      <c r="O22" s="3"/>
      <c r="P22" s="3"/>
      <c r="Q22" s="3"/>
      <c r="R22" s="3"/>
    </row>
    <row r="23" spans="2:18" ht="14.25">
      <c r="B23" s="249" t="s">
        <v>86</v>
      </c>
      <c r="C23" s="249"/>
      <c r="D23" s="249"/>
      <c r="E23" s="249"/>
      <c r="F23" s="249"/>
      <c r="G23" s="249"/>
      <c r="M23" s="3"/>
      <c r="N23" s="3"/>
      <c r="O23" s="3"/>
      <c r="P23" s="3"/>
      <c r="Q23" s="3"/>
      <c r="R23" s="3"/>
    </row>
    <row r="24" spans="2:18" ht="14.25">
      <c r="B24" s="249" t="s">
        <v>85</v>
      </c>
      <c r="C24" s="249"/>
      <c r="D24" s="249"/>
      <c r="E24" s="249"/>
      <c r="F24" s="249"/>
      <c r="G24" s="249"/>
      <c r="M24" s="3"/>
      <c r="N24" s="3"/>
      <c r="O24" s="3"/>
      <c r="P24" s="3"/>
      <c r="Q24" s="3"/>
      <c r="R24" s="3"/>
    </row>
    <row r="25" spans="2:18" s="6" customFormat="1" ht="14.25">
      <c r="B25" s="249" t="s">
        <v>32</v>
      </c>
      <c r="C25" s="249"/>
      <c r="D25" s="249"/>
      <c r="E25" s="249"/>
      <c r="F25" s="249"/>
      <c r="G25" s="249"/>
      <c r="M25" s="7"/>
      <c r="N25" s="7"/>
      <c r="O25" s="7"/>
      <c r="P25" s="7"/>
      <c r="Q25" s="7"/>
      <c r="R25" s="7"/>
    </row>
    <row r="26" spans="2:18" ht="14.25">
      <c r="B26" s="248" t="s">
        <v>74</v>
      </c>
      <c r="C26" s="248"/>
      <c r="D26" s="248"/>
      <c r="E26" s="248"/>
      <c r="F26" s="248"/>
      <c r="G26" s="248"/>
      <c r="M26" s="3"/>
      <c r="N26" s="3"/>
      <c r="O26" s="3"/>
      <c r="P26" s="3"/>
      <c r="Q26" s="3"/>
      <c r="R26" s="3"/>
    </row>
    <row r="27" spans="2:18" ht="14.25">
      <c r="B27" s="248" t="s">
        <v>84</v>
      </c>
      <c r="C27" s="248"/>
      <c r="D27" s="248"/>
      <c r="E27" s="248"/>
      <c r="F27" s="248"/>
      <c r="G27" s="248"/>
      <c r="M27" s="3"/>
      <c r="N27" s="3"/>
      <c r="O27" s="3"/>
      <c r="P27" s="3"/>
      <c r="Q27" s="3"/>
      <c r="R27" s="3"/>
    </row>
    <row r="28" spans="2:18" ht="14.25">
      <c r="B28" s="248" t="s">
        <v>24</v>
      </c>
      <c r="C28" s="248"/>
      <c r="D28" s="248"/>
      <c r="E28" s="248"/>
      <c r="F28" s="248"/>
      <c r="G28" s="248"/>
      <c r="L28" s="3"/>
      <c r="M28" s="3"/>
      <c r="N28" s="3"/>
      <c r="O28" s="3"/>
      <c r="P28" s="3"/>
      <c r="Q28" s="3"/>
      <c r="R28" s="3"/>
    </row>
    <row r="29" spans="2:18" ht="14.25">
      <c r="B29" s="248" t="s">
        <v>122</v>
      </c>
      <c r="C29" s="248"/>
      <c r="D29" s="248"/>
      <c r="E29" s="248"/>
      <c r="F29" s="248"/>
      <c r="G29" s="248"/>
      <c r="L29" s="3"/>
      <c r="M29" s="3"/>
      <c r="N29" s="3"/>
      <c r="O29" s="3"/>
      <c r="P29" s="3"/>
      <c r="Q29" s="3"/>
      <c r="R29" s="3"/>
    </row>
    <row r="30" spans="2:18" ht="12.75">
      <c r="B30" s="247" t="s">
        <v>82</v>
      </c>
      <c r="C30" s="247"/>
      <c r="D30" s="247"/>
      <c r="E30" s="247"/>
      <c r="F30" s="247"/>
      <c r="G30" s="247"/>
      <c r="L30" s="3"/>
      <c r="M30" s="3"/>
      <c r="N30" s="3"/>
      <c r="O30" s="3"/>
      <c r="P30" s="3"/>
      <c r="Q30" s="3"/>
      <c r="R30" s="3"/>
    </row>
    <row r="31" spans="2:18" ht="13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4:18" ht="13.5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3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3"/>
      <c r="C34" s="3"/>
      <c r="D34" s="3"/>
      <c r="L34" s="3"/>
      <c r="M34" s="3"/>
      <c r="N34" s="3"/>
      <c r="O34" s="3"/>
      <c r="P34" s="3"/>
      <c r="Q34" s="3"/>
      <c r="R34" s="3"/>
    </row>
    <row r="35" spans="2:18" ht="12.75">
      <c r="B35" s="3"/>
      <c r="C35" s="3"/>
      <c r="D35" s="3"/>
      <c r="L35" s="3"/>
      <c r="M35" s="3"/>
      <c r="N35" s="3"/>
      <c r="O35" s="3"/>
      <c r="P35" s="3"/>
      <c r="Q35" s="3"/>
      <c r="R35" s="3"/>
    </row>
    <row r="36" spans="2:18" ht="12.75">
      <c r="B36" s="3"/>
      <c r="C36" s="3"/>
      <c r="D36" s="3"/>
      <c r="L36" s="3"/>
      <c r="M36" s="3"/>
      <c r="N36" s="3"/>
      <c r="O36" s="3"/>
      <c r="P36" s="3"/>
      <c r="Q36" s="3"/>
      <c r="R36" s="3"/>
    </row>
    <row r="37" spans="12:18" ht="12.75">
      <c r="L37" s="3"/>
      <c r="M37" s="3"/>
      <c r="N37" s="3"/>
      <c r="O37" s="3"/>
      <c r="P37" s="3"/>
      <c r="Q37" s="3"/>
      <c r="R37" s="3"/>
    </row>
    <row r="38" spans="12:18" ht="12.75">
      <c r="L38" s="3"/>
      <c r="M38" s="3"/>
      <c r="N38" s="3"/>
      <c r="O38" s="3"/>
      <c r="P38" s="3"/>
      <c r="Q38" s="3"/>
      <c r="R38" s="3"/>
    </row>
    <row r="39" spans="12:18" ht="12.75">
      <c r="L39" s="3"/>
      <c r="M39" s="3"/>
      <c r="N39" s="3"/>
      <c r="O39" s="3"/>
      <c r="P39" s="3"/>
      <c r="Q39" s="3"/>
      <c r="R39" s="3"/>
    </row>
    <row r="40" spans="12:18" ht="12.75">
      <c r="L40" s="3"/>
      <c r="M40" s="3"/>
      <c r="N40" s="3"/>
      <c r="O40" s="3"/>
      <c r="P40" s="3"/>
      <c r="Q40" s="3"/>
      <c r="R40" s="3"/>
    </row>
    <row r="41" spans="17:18" ht="12.75">
      <c r="Q41" s="3"/>
      <c r="R41" s="3"/>
    </row>
    <row r="42" spans="17:18" ht="12.75">
      <c r="Q42" s="3"/>
      <c r="R42" s="3"/>
    </row>
    <row r="43" spans="17:18" ht="12.75">
      <c r="Q43" s="3"/>
      <c r="R43" s="3"/>
    </row>
    <row r="44" spans="17:18" ht="12.75">
      <c r="Q44" s="3"/>
      <c r="R44" s="3"/>
    </row>
    <row r="45" spans="17:18" ht="12.75">
      <c r="Q45" s="3"/>
      <c r="R45" s="3"/>
    </row>
    <row r="46" spans="17:18" ht="12.75">
      <c r="Q46" s="3"/>
      <c r="R46" s="3"/>
    </row>
    <row r="47" spans="17:18" ht="12.75">
      <c r="Q47" s="3"/>
      <c r="R47" s="3"/>
    </row>
    <row r="48" spans="17:18" ht="12.75">
      <c r="Q48" s="3"/>
      <c r="R48" s="3"/>
    </row>
    <row r="49" spans="17:18" ht="12.75">
      <c r="Q49" s="3"/>
      <c r="R49" s="3"/>
    </row>
    <row r="50" spans="17:18" ht="12.75">
      <c r="Q50" s="3"/>
      <c r="R50" s="3"/>
    </row>
    <row r="51" spans="17:18" ht="12.75">
      <c r="Q51" s="3"/>
      <c r="R51" s="3"/>
    </row>
    <row r="52" spans="17:18" ht="12.75">
      <c r="Q52" s="3"/>
      <c r="R52" s="3"/>
    </row>
    <row r="53" spans="17:18" ht="12.75">
      <c r="Q53" s="3"/>
      <c r="R53" s="3"/>
    </row>
    <row r="54" spans="17:18" ht="12.75">
      <c r="Q54" s="3"/>
      <c r="R54" s="3"/>
    </row>
    <row r="55" spans="17:18" ht="12.75">
      <c r="Q55" s="3"/>
      <c r="R55" s="3"/>
    </row>
    <row r="56" spans="17:18" ht="12.75">
      <c r="Q56" s="3"/>
      <c r="R56" s="3"/>
    </row>
    <row r="57" spans="17:18" ht="12.75"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  <row r="93" spans="17:18" ht="12.75">
      <c r="Q93" s="3"/>
      <c r="R93" s="3"/>
    </row>
    <row r="94" spans="17:18" ht="12.75">
      <c r="Q94" s="3"/>
      <c r="R94" s="3"/>
    </row>
    <row r="95" spans="17:18" ht="12.75">
      <c r="Q95" s="3"/>
      <c r="R95" s="3"/>
    </row>
    <row r="96" spans="17:18" ht="12.75">
      <c r="Q96" s="3"/>
      <c r="R96" s="3"/>
    </row>
    <row r="97" spans="17:18" ht="12.75">
      <c r="Q97" s="3"/>
      <c r="R97" s="3"/>
    </row>
    <row r="98" spans="17:18" ht="12.75">
      <c r="Q98" s="3"/>
      <c r="R98" s="3"/>
    </row>
    <row r="99" spans="17:18" ht="12.75">
      <c r="Q99" s="3"/>
      <c r="R99" s="3"/>
    </row>
    <row r="100" spans="17:18" ht="12.75">
      <c r="Q100" s="3"/>
      <c r="R100" s="3"/>
    </row>
    <row r="101" spans="17:18" ht="12.75">
      <c r="Q101" s="3"/>
      <c r="R101" s="3"/>
    </row>
    <row r="102" spans="17:18" ht="12.75">
      <c r="Q102" s="3"/>
      <c r="R102" s="3"/>
    </row>
    <row r="103" spans="17:18" ht="12.75">
      <c r="Q103" s="3"/>
      <c r="R103" s="3"/>
    </row>
    <row r="104" spans="17:18" ht="12.75">
      <c r="Q104" s="3"/>
      <c r="R104" s="3"/>
    </row>
    <row r="105" spans="17:18" ht="12.75">
      <c r="Q105" s="3"/>
      <c r="R105" s="3"/>
    </row>
    <row r="106" spans="17:18" ht="12.75">
      <c r="Q106" s="3"/>
      <c r="R106" s="3"/>
    </row>
    <row r="107" spans="17:18" ht="12.75">
      <c r="Q107" s="3"/>
      <c r="R107" s="3"/>
    </row>
    <row r="108" spans="17:18" ht="12.75">
      <c r="Q108" s="3"/>
      <c r="R108" s="3"/>
    </row>
    <row r="109" spans="17:18" ht="12.75">
      <c r="Q109" s="3"/>
      <c r="R109" s="3"/>
    </row>
    <row r="110" spans="17:18" ht="12.75">
      <c r="Q110" s="3"/>
      <c r="R110" s="3"/>
    </row>
    <row r="111" spans="17:18" ht="12.75">
      <c r="Q111" s="3"/>
      <c r="R111" s="3"/>
    </row>
    <row r="112" spans="17:18" ht="12.75">
      <c r="Q112" s="3"/>
      <c r="R112" s="3"/>
    </row>
    <row r="113" spans="17:18" ht="12.75">
      <c r="Q113" s="3"/>
      <c r="R113" s="3"/>
    </row>
    <row r="114" spans="17:18" ht="12.75">
      <c r="Q114" s="3"/>
      <c r="R114" s="3"/>
    </row>
    <row r="115" spans="17:18" ht="12.75">
      <c r="Q115" s="3"/>
      <c r="R115" s="3"/>
    </row>
    <row r="116" spans="17:18" ht="12.75">
      <c r="Q116" s="3"/>
      <c r="R116" s="3"/>
    </row>
    <row r="117" spans="17:18" ht="12.75">
      <c r="Q117" s="3"/>
      <c r="R117" s="3"/>
    </row>
    <row r="118" spans="17:18" ht="12.75">
      <c r="Q118" s="3"/>
      <c r="R118" s="3"/>
    </row>
    <row r="119" spans="17:18" ht="12.75">
      <c r="Q119" s="3"/>
      <c r="R119" s="3"/>
    </row>
    <row r="120" spans="17:18" ht="12.75">
      <c r="Q120" s="3"/>
      <c r="R120" s="3"/>
    </row>
    <row r="121" spans="17:18" ht="12.75">
      <c r="Q121" s="3"/>
      <c r="R121" s="3"/>
    </row>
    <row r="122" spans="17:18" ht="12.75">
      <c r="Q122" s="3"/>
      <c r="R122" s="3"/>
    </row>
    <row r="123" spans="17:18" ht="12.75">
      <c r="Q123" s="3"/>
      <c r="R123" s="3"/>
    </row>
    <row r="124" spans="17:18" ht="12.75">
      <c r="Q124" s="3"/>
      <c r="R124" s="3"/>
    </row>
    <row r="125" spans="17:18" ht="12.75">
      <c r="Q125" s="3"/>
      <c r="R125" s="3"/>
    </row>
    <row r="126" spans="17:18" ht="12.75">
      <c r="Q126" s="3"/>
      <c r="R126" s="3"/>
    </row>
    <row r="127" spans="17:18" ht="12.75">
      <c r="Q127" s="3"/>
      <c r="R127" s="3"/>
    </row>
    <row r="128" spans="17:18" ht="12.75">
      <c r="Q128" s="3"/>
      <c r="R128" s="3"/>
    </row>
    <row r="129" spans="17:18" ht="12.75">
      <c r="Q129" s="3"/>
      <c r="R129" s="3"/>
    </row>
    <row r="130" spans="17:18" ht="12.75">
      <c r="Q130" s="3"/>
      <c r="R130" s="3"/>
    </row>
    <row r="131" spans="17:18" ht="12.75">
      <c r="Q131" s="3"/>
      <c r="R131" s="3"/>
    </row>
    <row r="132" spans="17:18" ht="12.75">
      <c r="Q132" s="3"/>
      <c r="R132" s="3"/>
    </row>
    <row r="133" spans="17:18" ht="12.75">
      <c r="Q133" s="3"/>
      <c r="R133" s="3"/>
    </row>
    <row r="134" spans="17:18" ht="12.75">
      <c r="Q134" s="3"/>
      <c r="R134" s="3"/>
    </row>
    <row r="135" spans="17:18" ht="12.75">
      <c r="Q135" s="3"/>
      <c r="R135" s="3"/>
    </row>
    <row r="136" spans="17:18" ht="12.75">
      <c r="Q136" s="3"/>
      <c r="R136" s="3"/>
    </row>
    <row r="137" spans="17:18" ht="12.75">
      <c r="Q137" s="3"/>
      <c r="R137" s="3"/>
    </row>
    <row r="138" spans="17:18" ht="12.75">
      <c r="Q138" s="3"/>
      <c r="R138" s="3"/>
    </row>
    <row r="139" spans="17:18" ht="12.75">
      <c r="Q139" s="3"/>
      <c r="R139" s="3"/>
    </row>
    <row r="140" spans="17:18" ht="12.75">
      <c r="Q140" s="3"/>
      <c r="R140" s="3"/>
    </row>
    <row r="141" spans="17:18" ht="12.75">
      <c r="Q141" s="3"/>
      <c r="R141" s="3"/>
    </row>
    <row r="142" spans="17:18" ht="12.75">
      <c r="Q142" s="3"/>
      <c r="R142" s="3"/>
    </row>
    <row r="143" spans="17:18" ht="12.75">
      <c r="Q143" s="3"/>
      <c r="R143" s="3"/>
    </row>
    <row r="144" spans="17:18" ht="12.75">
      <c r="Q144" s="3"/>
      <c r="R144" s="3"/>
    </row>
    <row r="145" spans="17:18" ht="12.75">
      <c r="Q145" s="3"/>
      <c r="R145" s="3"/>
    </row>
    <row r="146" spans="17:18" ht="12.75">
      <c r="Q146" s="3"/>
      <c r="R146" s="3"/>
    </row>
    <row r="147" spans="17:18" ht="12.75">
      <c r="Q147" s="3"/>
      <c r="R147" s="3"/>
    </row>
    <row r="148" spans="17:18" ht="12.75">
      <c r="Q148" s="3"/>
      <c r="R148" s="3"/>
    </row>
    <row r="149" spans="17:18" ht="12.75">
      <c r="Q149" s="3"/>
      <c r="R149" s="3"/>
    </row>
    <row r="150" spans="17:18" ht="12.75">
      <c r="Q150" s="3"/>
      <c r="R150" s="3"/>
    </row>
    <row r="151" spans="17:18" ht="12.75">
      <c r="Q151" s="3"/>
      <c r="R151" s="3"/>
    </row>
    <row r="152" spans="17:18" ht="12.75">
      <c r="Q152" s="3"/>
      <c r="R152" s="3"/>
    </row>
    <row r="153" spans="17:18" ht="12.75">
      <c r="Q153" s="3"/>
      <c r="R153" s="3"/>
    </row>
    <row r="154" spans="17:18" ht="12.75">
      <c r="Q154" s="3"/>
      <c r="R154" s="3"/>
    </row>
    <row r="155" spans="17:18" ht="12.75">
      <c r="Q155" s="3"/>
      <c r="R155" s="3"/>
    </row>
    <row r="156" spans="17:18" ht="12.75">
      <c r="Q156" s="3"/>
      <c r="R156" s="3"/>
    </row>
    <row r="157" spans="17:18" ht="12.75">
      <c r="Q157" s="3"/>
      <c r="R157" s="3"/>
    </row>
    <row r="158" spans="17:18" ht="12.75">
      <c r="Q158" s="3"/>
      <c r="R158" s="3"/>
    </row>
    <row r="159" spans="17:18" ht="12.75">
      <c r="Q159" s="3"/>
      <c r="R159" s="3"/>
    </row>
    <row r="160" spans="17:18" ht="12.75">
      <c r="Q160" s="3"/>
      <c r="R160" s="3"/>
    </row>
    <row r="161" spans="17:18" ht="12.75">
      <c r="Q161" s="3"/>
      <c r="R161" s="3"/>
    </row>
    <row r="162" spans="17:18" ht="12.75">
      <c r="Q162" s="3"/>
      <c r="R162" s="3"/>
    </row>
    <row r="163" spans="17:18" ht="12.75">
      <c r="Q163" s="3"/>
      <c r="R163" s="3"/>
    </row>
    <row r="164" spans="17:18" ht="12.75">
      <c r="Q164" s="3"/>
      <c r="R164" s="3"/>
    </row>
    <row r="165" spans="17:18" ht="12.75">
      <c r="Q165" s="3"/>
      <c r="R165" s="3"/>
    </row>
    <row r="166" spans="17:18" ht="12.75">
      <c r="Q166" s="3"/>
      <c r="R166" s="3"/>
    </row>
    <row r="167" spans="17:18" ht="12.75">
      <c r="Q167" s="3"/>
      <c r="R167" s="3"/>
    </row>
    <row r="168" spans="17:18" ht="12.75">
      <c r="Q168" s="3"/>
      <c r="R168" s="3"/>
    </row>
    <row r="169" spans="17:18" ht="12.75">
      <c r="Q169" s="3"/>
      <c r="R169" s="3"/>
    </row>
    <row r="170" spans="17:18" ht="12.75">
      <c r="Q170" s="3"/>
      <c r="R170" s="3"/>
    </row>
    <row r="171" spans="17:18" ht="12.75">
      <c r="Q171" s="3"/>
      <c r="R171" s="3"/>
    </row>
    <row r="172" spans="17:18" ht="12.75">
      <c r="Q172" s="3"/>
      <c r="R172" s="3"/>
    </row>
    <row r="173" spans="17:18" ht="12.75">
      <c r="Q173" s="3"/>
      <c r="R173" s="3"/>
    </row>
    <row r="174" spans="17:18" ht="12.75">
      <c r="Q174" s="3"/>
      <c r="R174" s="3"/>
    </row>
    <row r="175" spans="17:18" ht="12.75">
      <c r="Q175" s="3"/>
      <c r="R175" s="3"/>
    </row>
    <row r="176" spans="17:18" ht="12.75">
      <c r="Q176" s="3"/>
      <c r="R176" s="3"/>
    </row>
    <row r="177" spans="17:18" ht="12.75">
      <c r="Q177" s="3"/>
      <c r="R177" s="3"/>
    </row>
    <row r="178" spans="17:18" ht="12.75">
      <c r="Q178" s="3"/>
      <c r="R178" s="3"/>
    </row>
    <row r="179" spans="17:18" ht="12.75">
      <c r="Q179" s="3"/>
      <c r="R179" s="3"/>
    </row>
    <row r="180" spans="17:18" ht="12.75">
      <c r="Q180" s="3"/>
      <c r="R180" s="3"/>
    </row>
    <row r="181" spans="17:18" ht="12.75">
      <c r="Q181" s="3"/>
      <c r="R181" s="3"/>
    </row>
    <row r="182" spans="17:18" ht="12.75">
      <c r="Q182" s="3"/>
      <c r="R182" s="3"/>
    </row>
    <row r="183" spans="17:18" ht="12.75">
      <c r="Q183" s="3"/>
      <c r="R183" s="3"/>
    </row>
    <row r="184" spans="17:18" ht="12.75">
      <c r="Q184" s="3"/>
      <c r="R184" s="3"/>
    </row>
    <row r="185" spans="17:18" ht="12.75">
      <c r="Q185" s="3"/>
      <c r="R185" s="3"/>
    </row>
    <row r="186" spans="17:18" ht="12.75">
      <c r="Q186" s="3"/>
      <c r="R186" s="3"/>
    </row>
    <row r="187" spans="17:18" ht="12.75">
      <c r="Q187" s="3"/>
      <c r="R187" s="3"/>
    </row>
    <row r="188" spans="17:18" ht="12.75">
      <c r="Q188" s="3"/>
      <c r="R188" s="3"/>
    </row>
    <row r="189" spans="17:18" ht="12.75">
      <c r="Q189" s="3"/>
      <c r="R189" s="3"/>
    </row>
    <row r="190" spans="17:18" ht="12.75">
      <c r="Q190" s="3"/>
      <c r="R190" s="3"/>
    </row>
    <row r="191" spans="17:18" ht="12.75">
      <c r="Q191" s="3"/>
      <c r="R191" s="3"/>
    </row>
    <row r="192" spans="17:18" ht="12.75">
      <c r="Q192" s="3"/>
      <c r="R192" s="3"/>
    </row>
    <row r="193" spans="17:18" ht="12.75">
      <c r="Q193" s="3"/>
      <c r="R193" s="3"/>
    </row>
    <row r="194" spans="17:18" ht="12.75">
      <c r="Q194" s="3"/>
      <c r="R194" s="3"/>
    </row>
    <row r="195" spans="17:18" ht="12.75">
      <c r="Q195" s="3"/>
      <c r="R195" s="3"/>
    </row>
    <row r="196" spans="17:18" ht="12.75">
      <c r="Q196" s="3"/>
      <c r="R196" s="3"/>
    </row>
    <row r="197" spans="17:18" ht="12.75">
      <c r="Q197" s="3"/>
      <c r="R197" s="3"/>
    </row>
    <row r="198" spans="17:18" ht="12.75">
      <c r="Q198" s="3"/>
      <c r="R198" s="3"/>
    </row>
    <row r="199" spans="17:18" ht="12.75">
      <c r="Q199" s="3"/>
      <c r="R199" s="3"/>
    </row>
    <row r="200" spans="17:18" ht="12.75">
      <c r="Q200" s="3"/>
      <c r="R200" s="3"/>
    </row>
    <row r="201" spans="17:18" ht="12.75">
      <c r="Q201" s="3"/>
      <c r="R201" s="3"/>
    </row>
    <row r="202" spans="17:18" ht="12.75">
      <c r="Q202" s="3"/>
      <c r="R202" s="3"/>
    </row>
    <row r="203" spans="17:18" ht="12.75">
      <c r="Q203" s="3"/>
      <c r="R203" s="3"/>
    </row>
    <row r="204" spans="17:18" ht="12.75">
      <c r="Q204" s="3"/>
      <c r="R204" s="3"/>
    </row>
    <row r="205" spans="17:18" ht="12.75">
      <c r="Q205" s="3"/>
      <c r="R205" s="3"/>
    </row>
    <row r="206" spans="17:18" ht="12.75">
      <c r="Q206" s="3"/>
      <c r="R206" s="3"/>
    </row>
    <row r="207" spans="17:18" ht="12.75">
      <c r="Q207" s="3"/>
      <c r="R207" s="3"/>
    </row>
    <row r="208" spans="17:18" ht="12.75">
      <c r="Q208" s="3"/>
      <c r="R208" s="3"/>
    </row>
    <row r="209" spans="17:18" ht="12.75">
      <c r="Q209" s="3"/>
      <c r="R209" s="3"/>
    </row>
    <row r="210" spans="17:18" ht="12.75">
      <c r="Q210" s="3"/>
      <c r="R210" s="3"/>
    </row>
    <row r="211" spans="17:18" ht="12.75">
      <c r="Q211" s="3"/>
      <c r="R211" s="3"/>
    </row>
    <row r="212" spans="17:18" ht="12.75">
      <c r="Q212" s="3"/>
      <c r="R212" s="3"/>
    </row>
    <row r="213" spans="17:18" ht="12.75">
      <c r="Q213" s="3"/>
      <c r="R213" s="3"/>
    </row>
    <row r="214" spans="17:18" ht="12.75">
      <c r="Q214" s="3"/>
      <c r="R214" s="3"/>
    </row>
    <row r="215" spans="17:18" ht="12.75">
      <c r="Q215" s="3"/>
      <c r="R215" s="3"/>
    </row>
    <row r="216" spans="17:18" ht="12.75">
      <c r="Q216" s="3"/>
      <c r="R216" s="3"/>
    </row>
    <row r="217" spans="17:18" ht="12.75">
      <c r="Q217" s="3"/>
      <c r="R217" s="3"/>
    </row>
    <row r="218" spans="17:18" ht="12.75">
      <c r="Q218" s="3"/>
      <c r="R218" s="3"/>
    </row>
    <row r="219" spans="17:18" ht="12.75">
      <c r="Q219" s="3"/>
      <c r="R219" s="3"/>
    </row>
    <row r="220" spans="17:18" ht="12.75">
      <c r="Q220" s="3"/>
      <c r="R220" s="3"/>
    </row>
    <row r="221" spans="17:18" ht="12.75">
      <c r="Q221" s="3"/>
      <c r="R221" s="3"/>
    </row>
    <row r="222" spans="17:18" ht="12.75">
      <c r="Q222" s="3"/>
      <c r="R222" s="3"/>
    </row>
    <row r="223" spans="17:18" ht="12.75">
      <c r="Q223" s="3"/>
      <c r="R223" s="3"/>
    </row>
    <row r="224" spans="17:18" ht="12.75">
      <c r="Q224" s="3"/>
      <c r="R224" s="3"/>
    </row>
    <row r="225" spans="17:18" ht="12.75">
      <c r="Q225" s="3"/>
      <c r="R225" s="3"/>
    </row>
    <row r="226" spans="17:18" ht="12.75">
      <c r="Q226" s="3"/>
      <c r="R226" s="3"/>
    </row>
    <row r="227" spans="17:18" ht="12.75">
      <c r="Q227" s="3"/>
      <c r="R227" s="3"/>
    </row>
    <row r="228" spans="17:18" ht="12.75">
      <c r="Q228" s="3"/>
      <c r="R228" s="3"/>
    </row>
    <row r="229" spans="17:18" ht="12.75">
      <c r="Q229" s="3"/>
      <c r="R229" s="3"/>
    </row>
    <row r="230" spans="17:18" ht="12.75">
      <c r="Q230" s="3"/>
      <c r="R230" s="3"/>
    </row>
    <row r="231" spans="17:18" ht="12.75">
      <c r="Q231" s="3"/>
      <c r="R231" s="3"/>
    </row>
    <row r="232" spans="17:18" ht="12.75">
      <c r="Q232" s="3"/>
      <c r="R232" s="3"/>
    </row>
    <row r="233" spans="17:18" ht="12.75">
      <c r="Q233" s="3"/>
      <c r="R233" s="3"/>
    </row>
    <row r="234" spans="17:18" ht="12.75">
      <c r="Q234" s="3"/>
      <c r="R234" s="3"/>
    </row>
    <row r="235" spans="17:18" ht="12.75">
      <c r="Q235" s="3"/>
      <c r="R235" s="3"/>
    </row>
    <row r="236" spans="17:18" ht="12.75">
      <c r="Q236" s="3"/>
      <c r="R236" s="3"/>
    </row>
    <row r="237" spans="17:18" ht="12.75">
      <c r="Q237" s="3"/>
      <c r="R237" s="3"/>
    </row>
    <row r="238" spans="17:18" ht="12.75">
      <c r="Q238" s="3"/>
      <c r="R238" s="3"/>
    </row>
    <row r="239" spans="17:18" ht="12.75">
      <c r="Q239" s="3"/>
      <c r="R239" s="3"/>
    </row>
    <row r="240" spans="17:18" ht="12.75">
      <c r="Q240" s="3"/>
      <c r="R240" s="3"/>
    </row>
    <row r="241" spans="17:18" ht="12.75">
      <c r="Q241" s="3"/>
      <c r="R241" s="3"/>
    </row>
    <row r="242" spans="17:18" ht="12.75">
      <c r="Q242" s="3"/>
      <c r="R242" s="3"/>
    </row>
    <row r="243" spans="17:18" ht="12.75">
      <c r="Q243" s="3"/>
      <c r="R243" s="3"/>
    </row>
    <row r="244" spans="17:18" ht="12.75">
      <c r="Q244" s="3"/>
      <c r="R244" s="3"/>
    </row>
    <row r="245" spans="17:18" ht="12.75">
      <c r="Q245" s="3"/>
      <c r="R245" s="3"/>
    </row>
    <row r="246" spans="17:18" ht="12.75">
      <c r="Q246" s="3"/>
      <c r="R246" s="3"/>
    </row>
    <row r="247" spans="17:18" ht="12.75">
      <c r="Q247" s="3"/>
      <c r="R247" s="3"/>
    </row>
    <row r="248" spans="17:18" ht="12.75">
      <c r="Q248" s="3"/>
      <c r="R248" s="3"/>
    </row>
    <row r="249" spans="17:18" ht="12.75">
      <c r="Q249" s="3"/>
      <c r="R249" s="3"/>
    </row>
    <row r="250" spans="17:18" ht="12.75">
      <c r="Q250" s="3"/>
      <c r="R250" s="3"/>
    </row>
    <row r="251" spans="17:18" ht="12.75">
      <c r="Q251" s="3"/>
      <c r="R251" s="3"/>
    </row>
    <row r="252" spans="17:18" ht="12.75">
      <c r="Q252" s="3"/>
      <c r="R252" s="3"/>
    </row>
    <row r="253" spans="17:18" ht="12.75">
      <c r="Q253" s="3"/>
      <c r="R253" s="3"/>
    </row>
    <row r="254" spans="17:18" ht="12.75">
      <c r="Q254" s="3"/>
      <c r="R254" s="3"/>
    </row>
    <row r="255" spans="17:18" ht="12.75">
      <c r="Q255" s="3"/>
      <c r="R255" s="3"/>
    </row>
    <row r="256" spans="17:18" ht="12.75">
      <c r="Q256" s="3"/>
      <c r="R256" s="3"/>
    </row>
    <row r="257" spans="17:18" ht="12.75">
      <c r="Q257" s="3"/>
      <c r="R257" s="3"/>
    </row>
    <row r="258" spans="17:18" ht="12.75">
      <c r="Q258" s="3"/>
      <c r="R258" s="3"/>
    </row>
    <row r="259" spans="17:18" ht="12.75">
      <c r="Q259" s="3"/>
      <c r="R259" s="3"/>
    </row>
    <row r="260" spans="17:18" ht="12.75">
      <c r="Q260" s="3"/>
      <c r="R260" s="3"/>
    </row>
    <row r="261" spans="17:18" ht="12.75">
      <c r="Q261" s="3"/>
      <c r="R261" s="3"/>
    </row>
    <row r="262" spans="17:18" ht="12.75">
      <c r="Q262" s="3"/>
      <c r="R262" s="3"/>
    </row>
    <row r="263" spans="17:18" ht="12.75">
      <c r="Q263" s="3"/>
      <c r="R263" s="3"/>
    </row>
    <row r="264" spans="17:18" ht="12.75">
      <c r="Q264" s="3"/>
      <c r="R264" s="3"/>
    </row>
    <row r="265" spans="17:18" ht="12.75">
      <c r="Q265" s="3"/>
      <c r="R265" s="3"/>
    </row>
    <row r="266" spans="17:18" ht="12.75">
      <c r="Q266" s="3"/>
      <c r="R266" s="3"/>
    </row>
    <row r="267" spans="17:18" ht="12.75">
      <c r="Q267" s="3"/>
      <c r="R267" s="3"/>
    </row>
    <row r="268" spans="17:18" ht="12.75">
      <c r="Q268" s="3"/>
      <c r="R268" s="3"/>
    </row>
    <row r="269" spans="17:18" ht="12.75">
      <c r="Q269" s="3"/>
      <c r="R269" s="3"/>
    </row>
    <row r="270" spans="17:18" ht="12.75">
      <c r="Q270" s="3"/>
      <c r="R270" s="3"/>
    </row>
    <row r="271" spans="17:18" ht="12.75">
      <c r="Q271" s="3"/>
      <c r="R271" s="3"/>
    </row>
    <row r="272" spans="17:18" ht="12.75">
      <c r="Q272" s="3"/>
      <c r="R272" s="3"/>
    </row>
    <row r="273" spans="17:18" ht="12.75">
      <c r="Q273" s="3"/>
      <c r="R273" s="3"/>
    </row>
    <row r="274" spans="17:18" ht="12.75">
      <c r="Q274" s="3"/>
      <c r="R274" s="3"/>
    </row>
    <row r="275" spans="17:18" ht="12.75">
      <c r="Q275" s="3"/>
      <c r="R275" s="3"/>
    </row>
    <row r="276" spans="17:18" ht="12.75">
      <c r="Q276" s="3"/>
      <c r="R276" s="3"/>
    </row>
    <row r="277" spans="17:18" ht="12.75">
      <c r="Q277" s="3"/>
      <c r="R277" s="3"/>
    </row>
    <row r="278" spans="17:18" ht="12.75">
      <c r="Q278" s="3"/>
      <c r="R278" s="3"/>
    </row>
    <row r="279" spans="17:18" ht="12.75">
      <c r="Q279" s="3"/>
      <c r="R279" s="3"/>
    </row>
    <row r="280" spans="17:18" ht="12.75">
      <c r="Q280" s="3"/>
      <c r="R280" s="3"/>
    </row>
    <row r="281" spans="17:18" ht="12.75">
      <c r="Q281" s="3"/>
      <c r="R281" s="3"/>
    </row>
    <row r="282" spans="17:18" ht="12.75">
      <c r="Q282" s="3"/>
      <c r="R282" s="3"/>
    </row>
    <row r="283" spans="17:18" ht="12.75">
      <c r="Q283" s="3"/>
      <c r="R283" s="3"/>
    </row>
    <row r="284" spans="17:18" ht="12.75">
      <c r="Q284" s="3"/>
      <c r="R284" s="3"/>
    </row>
    <row r="285" spans="17:18" ht="12.75">
      <c r="Q285" s="3"/>
      <c r="R285" s="3"/>
    </row>
    <row r="286" spans="17:18" ht="12.75">
      <c r="Q286" s="3"/>
      <c r="R286" s="3"/>
    </row>
    <row r="287" spans="17:18" ht="12.75">
      <c r="Q287" s="3"/>
      <c r="R287" s="3"/>
    </row>
    <row r="288" spans="17:18" ht="12.75">
      <c r="Q288" s="3"/>
      <c r="R288" s="3"/>
    </row>
    <row r="289" spans="17:18" ht="12.75">
      <c r="Q289" s="3"/>
      <c r="R289" s="3"/>
    </row>
    <row r="290" spans="17:18" ht="12.75">
      <c r="Q290" s="3"/>
      <c r="R290" s="3"/>
    </row>
    <row r="291" spans="17:18" ht="12.75">
      <c r="Q291" s="3"/>
      <c r="R291" s="3"/>
    </row>
    <row r="292" spans="17:18" ht="12.75">
      <c r="Q292" s="3"/>
      <c r="R292" s="3"/>
    </row>
    <row r="293" spans="17:18" ht="12.75">
      <c r="Q293" s="3"/>
      <c r="R293" s="3"/>
    </row>
    <row r="294" spans="17:18" ht="12.75">
      <c r="Q294" s="3"/>
      <c r="R294" s="3"/>
    </row>
    <row r="295" spans="17:18" ht="12.75">
      <c r="Q295" s="3"/>
      <c r="R295" s="3"/>
    </row>
    <row r="296" spans="17:18" ht="12.75">
      <c r="Q296" s="3"/>
      <c r="R296" s="3"/>
    </row>
    <row r="297" spans="17:18" ht="12.75">
      <c r="Q297" s="3"/>
      <c r="R297" s="3"/>
    </row>
    <row r="298" spans="17:18" ht="12.75">
      <c r="Q298" s="3"/>
      <c r="R298" s="3"/>
    </row>
    <row r="299" spans="17:18" ht="12.75">
      <c r="Q299" s="3"/>
      <c r="R299" s="3"/>
    </row>
    <row r="300" spans="17:18" ht="12.75">
      <c r="Q300" s="3"/>
      <c r="R300" s="3"/>
    </row>
    <row r="301" spans="17:18" ht="12.75">
      <c r="Q301" s="3"/>
      <c r="R301" s="3"/>
    </row>
    <row r="302" spans="17:18" ht="12.75">
      <c r="Q302" s="3"/>
      <c r="R302" s="3"/>
    </row>
    <row r="303" spans="17:18" ht="12.75">
      <c r="Q303" s="3"/>
      <c r="R303" s="3"/>
    </row>
    <row r="304" spans="17:18" ht="12.75">
      <c r="Q304" s="3"/>
      <c r="R304" s="3"/>
    </row>
    <row r="305" spans="17:18" ht="12.75">
      <c r="Q305" s="3"/>
      <c r="R305" s="3"/>
    </row>
    <row r="306" spans="17:18" ht="12.75">
      <c r="Q306" s="3"/>
      <c r="R306" s="3"/>
    </row>
    <row r="307" spans="17:18" ht="12.75">
      <c r="Q307" s="3"/>
      <c r="R307" s="3"/>
    </row>
    <row r="308" spans="17:18" ht="12.75">
      <c r="Q308" s="3"/>
      <c r="R308" s="3"/>
    </row>
    <row r="309" spans="17:18" ht="12.75">
      <c r="Q309" s="3"/>
      <c r="R309" s="3"/>
    </row>
    <row r="310" spans="17:18" ht="12.75">
      <c r="Q310" s="3"/>
      <c r="R310" s="3"/>
    </row>
    <row r="311" spans="17:18" ht="12.75">
      <c r="Q311" s="3"/>
      <c r="R311" s="3"/>
    </row>
    <row r="312" spans="17:18" ht="12.75">
      <c r="Q312" s="3"/>
      <c r="R312" s="3"/>
    </row>
    <row r="313" spans="17:18" ht="12.75">
      <c r="Q313" s="3"/>
      <c r="R313" s="3"/>
    </row>
    <row r="314" spans="17:18" ht="12.75">
      <c r="Q314" s="3"/>
      <c r="R314" s="3"/>
    </row>
    <row r="315" spans="17:18" ht="12.75">
      <c r="Q315" s="3"/>
      <c r="R315" s="3"/>
    </row>
    <row r="316" spans="17:18" ht="12.75">
      <c r="Q316" s="3"/>
      <c r="R316" s="3"/>
    </row>
    <row r="317" spans="17:18" ht="12.75">
      <c r="Q317" s="3"/>
      <c r="R317" s="3"/>
    </row>
    <row r="318" spans="17:18" ht="12.75">
      <c r="Q318" s="3"/>
      <c r="R318" s="3"/>
    </row>
    <row r="319" spans="17:18" ht="12.75">
      <c r="Q319" s="3"/>
      <c r="R319" s="3"/>
    </row>
    <row r="320" spans="17:18" ht="12.75">
      <c r="Q320" s="3"/>
      <c r="R320" s="3"/>
    </row>
    <row r="321" spans="17:18" ht="12.75">
      <c r="Q321" s="3"/>
      <c r="R321" s="3"/>
    </row>
    <row r="322" spans="17:18" ht="12.75">
      <c r="Q322" s="3"/>
      <c r="R322" s="3"/>
    </row>
    <row r="323" spans="17:18" ht="12.75">
      <c r="Q323" s="3"/>
      <c r="R323" s="3"/>
    </row>
    <row r="324" spans="17:18" ht="12.75">
      <c r="Q324" s="3"/>
      <c r="R324" s="3"/>
    </row>
    <row r="325" spans="17:18" ht="12.75">
      <c r="Q325" s="3"/>
      <c r="R325" s="3"/>
    </row>
    <row r="326" spans="17:18" ht="12.75">
      <c r="Q326" s="3"/>
      <c r="R326" s="3"/>
    </row>
    <row r="327" spans="17:18" ht="12.75">
      <c r="Q327" s="3"/>
      <c r="R327" s="3"/>
    </row>
    <row r="328" spans="17:18" ht="12.75">
      <c r="Q328" s="3"/>
      <c r="R328" s="3"/>
    </row>
    <row r="329" spans="17:18" ht="12.75">
      <c r="Q329" s="3"/>
      <c r="R329" s="3"/>
    </row>
    <row r="330" spans="17:18" ht="12.75">
      <c r="Q330" s="3"/>
      <c r="R330" s="3"/>
    </row>
    <row r="331" spans="17:18" ht="12.75">
      <c r="Q331" s="3"/>
      <c r="R331" s="3"/>
    </row>
    <row r="332" spans="17:18" ht="12.75">
      <c r="Q332" s="3"/>
      <c r="R332" s="3"/>
    </row>
    <row r="333" spans="17:18" ht="12.75">
      <c r="Q333" s="3"/>
      <c r="R333" s="3"/>
    </row>
    <row r="334" spans="17:18" ht="12.75">
      <c r="Q334" s="3"/>
      <c r="R334" s="3"/>
    </row>
    <row r="335" spans="17:18" ht="12.75">
      <c r="Q335" s="3"/>
      <c r="R335" s="3"/>
    </row>
    <row r="336" spans="17:18" ht="12.75">
      <c r="Q336" s="3"/>
      <c r="R336" s="3"/>
    </row>
    <row r="337" spans="17:18" ht="12.75">
      <c r="Q337" s="3"/>
      <c r="R337" s="3"/>
    </row>
    <row r="338" spans="17:18" ht="12.75">
      <c r="Q338" s="3"/>
      <c r="R338" s="3"/>
    </row>
    <row r="339" spans="17:18" ht="12.75">
      <c r="Q339" s="3"/>
      <c r="R339" s="3"/>
    </row>
    <row r="340" spans="17:18" ht="12.75">
      <c r="Q340" s="3"/>
      <c r="R340" s="3"/>
    </row>
    <row r="341" spans="17:18" ht="12.75">
      <c r="Q341" s="3"/>
      <c r="R341" s="3"/>
    </row>
    <row r="342" spans="17:18" ht="12.75">
      <c r="Q342" s="3"/>
      <c r="R342" s="3"/>
    </row>
    <row r="343" spans="17:18" ht="12.75">
      <c r="Q343" s="3"/>
      <c r="R343" s="3"/>
    </row>
    <row r="344" spans="17:18" ht="12.75">
      <c r="Q344" s="3"/>
      <c r="R344" s="3"/>
    </row>
    <row r="345" spans="17:18" ht="12.75">
      <c r="Q345" s="3"/>
      <c r="R345" s="3"/>
    </row>
    <row r="346" spans="17:18" ht="12.75">
      <c r="Q346" s="3"/>
      <c r="R346" s="3"/>
    </row>
    <row r="347" spans="17:18" ht="12.75">
      <c r="Q347" s="3"/>
      <c r="R347" s="3"/>
    </row>
    <row r="348" spans="17:18" ht="12.75">
      <c r="Q348" s="3"/>
      <c r="R348" s="3"/>
    </row>
    <row r="349" spans="17:18" ht="12.75">
      <c r="Q349" s="3"/>
      <c r="R349" s="3"/>
    </row>
    <row r="350" spans="17:18" ht="12.75">
      <c r="Q350" s="3"/>
      <c r="R350" s="3"/>
    </row>
    <row r="351" spans="17:18" ht="12.75">
      <c r="Q351" s="3"/>
      <c r="R351" s="3"/>
    </row>
    <row r="352" spans="17:18" ht="12.75">
      <c r="Q352" s="3"/>
      <c r="R352" s="3"/>
    </row>
    <row r="353" spans="17:18" ht="12.75">
      <c r="Q353" s="3"/>
      <c r="R353" s="3"/>
    </row>
    <row r="354" spans="17:18" ht="12.75">
      <c r="Q354" s="3"/>
      <c r="R354" s="3"/>
    </row>
    <row r="355" spans="17:18" ht="12.75">
      <c r="Q355" s="3"/>
      <c r="R355" s="3"/>
    </row>
    <row r="356" spans="17:18" ht="12.75">
      <c r="Q356" s="3"/>
      <c r="R356" s="3"/>
    </row>
    <row r="357" spans="17:18" ht="12.75">
      <c r="Q357" s="3"/>
      <c r="R357" s="3"/>
    </row>
    <row r="358" spans="17:18" ht="12.75">
      <c r="Q358" s="3"/>
      <c r="R358" s="3"/>
    </row>
    <row r="359" spans="17:18" ht="12.75">
      <c r="Q359" s="3"/>
      <c r="R359" s="3"/>
    </row>
    <row r="360" spans="17:18" ht="12.75">
      <c r="Q360" s="3"/>
      <c r="R360" s="3"/>
    </row>
    <row r="361" spans="17:18" ht="12.75">
      <c r="Q361" s="3"/>
      <c r="R361" s="3"/>
    </row>
    <row r="362" spans="17:18" ht="12.75">
      <c r="Q362" s="3"/>
      <c r="R362" s="3"/>
    </row>
    <row r="363" spans="17:18" ht="12.75">
      <c r="Q363" s="3"/>
      <c r="R363" s="3"/>
    </row>
    <row r="364" spans="17:18" ht="12.75">
      <c r="Q364" s="3"/>
      <c r="R364" s="3"/>
    </row>
    <row r="365" spans="17:18" ht="12.75">
      <c r="Q365" s="3"/>
      <c r="R365" s="3"/>
    </row>
    <row r="366" spans="17:18" ht="12.75">
      <c r="Q366" s="3"/>
      <c r="R366" s="3"/>
    </row>
    <row r="367" spans="17:18" ht="12.75">
      <c r="Q367" s="3"/>
      <c r="R367" s="3"/>
    </row>
    <row r="368" spans="17:18" ht="12.75">
      <c r="Q368" s="3"/>
      <c r="R368" s="3"/>
    </row>
    <row r="369" spans="17:18" ht="12.75">
      <c r="Q369" s="3"/>
      <c r="R369" s="3"/>
    </row>
    <row r="370" spans="17:18" ht="12.75">
      <c r="Q370" s="3"/>
      <c r="R370" s="3"/>
    </row>
    <row r="371" spans="17:18" ht="12.75">
      <c r="Q371" s="3"/>
      <c r="R371" s="3"/>
    </row>
    <row r="372" spans="17:18" ht="12.75">
      <c r="Q372" s="3"/>
      <c r="R372" s="3"/>
    </row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</sheetData>
  <sheetProtection password="DB75" sheet="1" objects="1" scenarios="1"/>
  <mergeCells count="9">
    <mergeCell ref="B4:G4"/>
    <mergeCell ref="B30:G30"/>
    <mergeCell ref="B29:G29"/>
    <mergeCell ref="B23:G23"/>
    <mergeCell ref="B26:G26"/>
    <mergeCell ref="B28:G28"/>
    <mergeCell ref="B25:G25"/>
    <mergeCell ref="B24:G24"/>
    <mergeCell ref="B27:G27"/>
  </mergeCells>
  <dataValidations count="6">
    <dataValidation type="list" allowBlank="1" showInputMessage="1" showErrorMessage="1" errorTitle="Resort Selectgion" error="Please use Drop Down Menu" sqref="F6">
      <formula1>$L$7:$L$14</formula1>
    </dataValidation>
    <dataValidation type="list" allowBlank="1" showInputMessage="1" showErrorMessage="1" errorTitle="Purchase Type" error="Please use Drop Down menu for DVC or Resale" sqref="C6">
      <formula1>$L$16:$L$17</formula1>
    </dataValidation>
    <dataValidation type="list" allowBlank="1" showInputMessage="1" showErrorMessage="1" errorTitle="Down paymentg Percentage" error="Please use Drop Down menu choices" sqref="C10">
      <formula1>$M$7:$M$17</formula1>
    </dataValidation>
    <dataValidation errorStyle="warning" type="list" allowBlank="1" showInputMessage="1" showErrorMessage="1" errorTitle="Mortgage Term in Years" error="Please use Drop Down Menu choices.&#10;You may type a different period if desired." sqref="C14">
      <formula1>$N$7:$N$15</formula1>
    </dataValidation>
    <dataValidation errorStyle="warning" type="list" allowBlank="1" showInputMessage="1" showErrorMessage="1" errorTitle="Inflation Percentage" error="Please select from Drop Down choices.&#10;You may also type your own percentgae.&#10;" sqref="F12">
      <formula1>$O$7:$O$17</formula1>
    </dataValidation>
    <dataValidation allowBlank="1" showInputMessage="1" showErrorMessage="1" errorTitle="Mortgage Interest Rate" error="Please use Drop Down Menu choices." sqref="C13"/>
  </dataValidations>
  <printOptions horizontalCentered="1" verticalCentered="1"/>
  <pageMargins left="0.75" right="0.75" top="1" bottom="1" header="0.5" footer="0.5"/>
  <pageSetup fitToHeight="0" fitToWidth="1" orientation="landscape" scale="84" r:id="rId1"/>
  <headerFooter alignWithMargins="0">
    <oddHeader>&amp;L&amp;10&amp;F&amp;C&amp;10DVC Analysis&amp;R&amp;10&amp;D,   &amp;T</oddHeader>
    <oddFooter>&amp;C&amp;P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9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2.25390625" style="3" customWidth="1"/>
    <col min="2" max="2" width="10.75390625" style="3" bestFit="1" customWidth="1"/>
    <col min="3" max="7" width="13.75390625" style="3" customWidth="1"/>
    <col min="8" max="8" width="5.125" style="3" customWidth="1"/>
    <col min="9" max="9" width="9.125" style="8" customWidth="1"/>
    <col min="10" max="10" width="9.125" style="33" customWidth="1"/>
    <col min="11" max="12" width="9.125" style="3" customWidth="1"/>
    <col min="13" max="13" width="10.375" style="3" customWidth="1"/>
    <col min="14" max="14" width="4.375" style="3" customWidth="1"/>
    <col min="15" max="15" width="10.00390625" style="3" customWidth="1"/>
    <col min="16" max="16" width="12.00390625" style="3" customWidth="1"/>
    <col min="17" max="16384" width="9.125" style="3" customWidth="1"/>
  </cols>
  <sheetData>
    <row r="1" spans="1:16" ht="12.75">
      <c r="A1" s="85"/>
      <c r="B1" s="85"/>
      <c r="C1" s="85"/>
      <c r="D1" s="85"/>
      <c r="E1" s="85"/>
      <c r="F1" s="85"/>
      <c r="G1" s="85"/>
      <c r="H1" s="85"/>
      <c r="I1" s="84"/>
      <c r="J1" s="86"/>
      <c r="K1" s="85"/>
      <c r="L1" s="85"/>
      <c r="M1" s="85"/>
      <c r="N1" s="85"/>
      <c r="O1" s="85"/>
      <c r="P1" s="85"/>
    </row>
    <row r="2" spans="1:16" ht="23.25">
      <c r="A2" s="85"/>
      <c r="B2" s="76" t="s">
        <v>19</v>
      </c>
      <c r="C2" s="87"/>
      <c r="D2" s="87"/>
      <c r="E2" s="87"/>
      <c r="F2" s="87"/>
      <c r="G2" s="87"/>
      <c r="H2" s="87"/>
      <c r="I2" s="250" t="s">
        <v>26</v>
      </c>
      <c r="J2" s="250"/>
      <c r="K2" s="250"/>
      <c r="L2" s="250"/>
      <c r="M2" s="250"/>
      <c r="N2" s="85"/>
      <c r="O2" s="251" t="s">
        <v>93</v>
      </c>
      <c r="P2" s="251"/>
    </row>
    <row r="3" spans="1:16" ht="12.75">
      <c r="A3" s="85"/>
      <c r="B3" s="79"/>
      <c r="C3" s="88"/>
      <c r="D3" s="88"/>
      <c r="E3" s="88"/>
      <c r="F3" s="88"/>
      <c r="G3" s="88"/>
      <c r="H3" s="88"/>
      <c r="I3" s="85"/>
      <c r="J3" s="85"/>
      <c r="K3" s="85"/>
      <c r="L3" s="85"/>
      <c r="M3" s="85"/>
      <c r="N3" s="85"/>
      <c r="O3" s="85"/>
      <c r="P3" s="85"/>
    </row>
    <row r="4" spans="1:16" ht="12.75">
      <c r="A4" s="85"/>
      <c r="B4" s="89" t="s">
        <v>0</v>
      </c>
      <c r="C4" s="90" t="s">
        <v>1</v>
      </c>
      <c r="D4" s="91" t="s">
        <v>2</v>
      </c>
      <c r="E4" s="92" t="s">
        <v>3</v>
      </c>
      <c r="F4" s="93" t="s">
        <v>15</v>
      </c>
      <c r="G4" s="93" t="s">
        <v>14</v>
      </c>
      <c r="H4" s="94"/>
      <c r="I4" s="252" t="s">
        <v>100</v>
      </c>
      <c r="J4" s="256"/>
      <c r="K4" s="256"/>
      <c r="L4" s="256"/>
      <c r="M4" s="253"/>
      <c r="N4" s="85"/>
      <c r="O4" s="252" t="s">
        <v>98</v>
      </c>
      <c r="P4" s="253"/>
    </row>
    <row r="5" spans="1:16" ht="12.75">
      <c r="A5" s="85"/>
      <c r="B5" s="95">
        <f>+'DVC Analysis'!C9</f>
        <v>17000</v>
      </c>
      <c r="C5" s="95">
        <f>'DVC Analysis'!$C$12</f>
        <v>0</v>
      </c>
      <c r="D5" s="96">
        <f>'DVC Analysis'!$C$13/100</f>
        <v>0.1075</v>
      </c>
      <c r="E5" s="97">
        <f>Payment</f>
        <v>0</v>
      </c>
      <c r="F5" s="97">
        <f>+B5+G5</f>
        <v>17000</v>
      </c>
      <c r="G5" s="98">
        <f>+G372</f>
        <v>0</v>
      </c>
      <c r="H5" s="94"/>
      <c r="I5" s="254" t="s">
        <v>101</v>
      </c>
      <c r="J5" s="257"/>
      <c r="K5" s="257"/>
      <c r="L5" s="257"/>
      <c r="M5" s="255"/>
      <c r="N5" s="85"/>
      <c r="O5" s="254" t="s">
        <v>99</v>
      </c>
      <c r="P5" s="255"/>
    </row>
    <row r="6" spans="1:16" ht="12.75">
      <c r="A6" s="85"/>
      <c r="B6" s="99"/>
      <c r="C6" s="99"/>
      <c r="D6" s="100"/>
      <c r="E6" s="101"/>
      <c r="F6" s="102"/>
      <c r="G6" s="94"/>
      <c r="H6" s="94"/>
      <c r="I6" s="85"/>
      <c r="J6" s="85"/>
      <c r="K6" s="85"/>
      <c r="L6" s="85"/>
      <c r="M6" s="85"/>
      <c r="N6" s="85"/>
      <c r="O6" s="85"/>
      <c r="P6" s="85"/>
    </row>
    <row r="7" spans="1:16" ht="12.75">
      <c r="A7" s="85"/>
      <c r="B7" s="85"/>
      <c r="C7" s="103"/>
      <c r="D7" s="103"/>
      <c r="E7" s="103"/>
      <c r="F7" s="103"/>
      <c r="G7" s="103"/>
      <c r="H7" s="103"/>
      <c r="I7" s="84"/>
      <c r="J7" s="86"/>
      <c r="K7" s="85"/>
      <c r="L7" s="85"/>
      <c r="M7" s="85"/>
      <c r="N7" s="85"/>
      <c r="O7" s="85"/>
      <c r="P7" s="85"/>
    </row>
    <row r="8" spans="1:16" ht="12.75">
      <c r="A8" s="85"/>
      <c r="B8" s="104" t="s">
        <v>4</v>
      </c>
      <c r="C8" s="105" t="s">
        <v>5</v>
      </c>
      <c r="D8" s="106" t="s">
        <v>6</v>
      </c>
      <c r="E8" s="106" t="s">
        <v>6</v>
      </c>
      <c r="F8" s="106" t="s">
        <v>7</v>
      </c>
      <c r="G8" s="107" t="s">
        <v>8</v>
      </c>
      <c r="H8" s="108"/>
      <c r="I8" s="106" t="s">
        <v>66</v>
      </c>
      <c r="J8" s="109" t="s">
        <v>27</v>
      </c>
      <c r="K8" s="110" t="s">
        <v>29</v>
      </c>
      <c r="L8" s="110" t="s">
        <v>29</v>
      </c>
      <c r="M8" s="110" t="s">
        <v>31</v>
      </c>
      <c r="N8" s="111"/>
      <c r="O8" s="110" t="s">
        <v>28</v>
      </c>
      <c r="P8" s="110" t="s">
        <v>76</v>
      </c>
    </row>
    <row r="9" spans="1:16" ht="12.75">
      <c r="A9" s="85"/>
      <c r="B9" s="112" t="s">
        <v>9</v>
      </c>
      <c r="C9" s="113" t="s">
        <v>10</v>
      </c>
      <c r="D9" s="114" t="s">
        <v>11</v>
      </c>
      <c r="E9" s="114" t="s">
        <v>12</v>
      </c>
      <c r="F9" s="115" t="s">
        <v>10</v>
      </c>
      <c r="G9" s="116" t="s">
        <v>11</v>
      </c>
      <c r="H9" s="108"/>
      <c r="I9" s="117"/>
      <c r="J9" s="118" t="s">
        <v>28</v>
      </c>
      <c r="K9" s="119" t="s">
        <v>27</v>
      </c>
      <c r="L9" s="119" t="s">
        <v>30</v>
      </c>
      <c r="M9" s="119" t="s">
        <v>30</v>
      </c>
      <c r="N9" s="111"/>
      <c r="O9" s="119" t="s">
        <v>75</v>
      </c>
      <c r="P9" s="119" t="s">
        <v>11</v>
      </c>
    </row>
    <row r="10" spans="1:16" ht="12.75">
      <c r="A10" s="85"/>
      <c r="B10" s="120">
        <v>1</v>
      </c>
      <c r="C10" s="121">
        <f>Principal</f>
        <v>0</v>
      </c>
      <c r="D10" s="121">
        <f aca="true" t="shared" si="0" ref="D10:D73">IF(C10&gt;0,(Rate/100)/Period*Beginning_balance,0)</f>
        <v>0</v>
      </c>
      <c r="E10" s="122">
        <f>IF(C10=0,0,(Payment-Interest))</f>
        <v>0</v>
      </c>
      <c r="F10" s="123">
        <f aca="true" t="shared" si="1" ref="F10:F73">IF(C10&gt;1,(C10-E10),0)</f>
        <v>0</v>
      </c>
      <c r="G10" s="123">
        <f>D10</f>
        <v>0</v>
      </c>
      <c r="H10" s="124"/>
      <c r="I10" s="125">
        <v>1</v>
      </c>
      <c r="J10" s="126">
        <f>+'DVC Analysis'!F12</f>
        <v>0.01</v>
      </c>
      <c r="K10" s="127">
        <f>+'DVC Analysis'!F11</f>
        <v>924</v>
      </c>
      <c r="L10" s="127">
        <f>+K10</f>
        <v>924</v>
      </c>
      <c r="M10" s="128"/>
      <c r="N10" s="85"/>
      <c r="O10" s="129">
        <f>+IF(J10&gt;0.02,J10-0.01,0.01)</f>
        <v>0.01</v>
      </c>
      <c r="P10" s="130">
        <f>+'DVC Analysis'!C11</f>
        <v>17000</v>
      </c>
    </row>
    <row r="11" spans="1:16" ht="12.75">
      <c r="A11" s="85"/>
      <c r="B11" s="120">
        <f aca="true" t="shared" si="2" ref="B11:B74">+B10+1</f>
        <v>2</v>
      </c>
      <c r="C11" s="131">
        <f aca="true" t="shared" si="3" ref="C11:C74">IF(F10&gt;0,F10,0)</f>
        <v>0</v>
      </c>
      <c r="D11" s="131">
        <f t="shared" si="0"/>
        <v>0</v>
      </c>
      <c r="E11" s="132">
        <f aca="true" t="shared" si="4" ref="E11:E74">IF(C11&lt;1,0,(Payment-Interest))</f>
        <v>0</v>
      </c>
      <c r="F11" s="133">
        <f t="shared" si="1"/>
        <v>0</v>
      </c>
      <c r="G11" s="133">
        <f aca="true" t="shared" si="5" ref="G11:G42">G10+D11</f>
        <v>0</v>
      </c>
      <c r="H11" s="124"/>
      <c r="I11" s="125">
        <f>+I10+1</f>
        <v>2</v>
      </c>
      <c r="J11" s="134">
        <f>+J10</f>
        <v>0.01</v>
      </c>
      <c r="K11" s="135">
        <f aca="true" t="shared" si="6" ref="K11:K48">+(K10*J11)+K10</f>
        <v>933.24</v>
      </c>
      <c r="L11" s="135">
        <f aca="true" t="shared" si="7" ref="L11:L48">+$K11-$L$10</f>
        <v>9.240000000000009</v>
      </c>
      <c r="M11" s="135">
        <f>+L11</f>
        <v>9.240000000000009</v>
      </c>
      <c r="N11" s="85"/>
      <c r="O11" s="136">
        <f>+O10</f>
        <v>0.01</v>
      </c>
      <c r="P11" s="137">
        <f>+P10*O11+P10</f>
        <v>17170</v>
      </c>
    </row>
    <row r="12" spans="1:16" ht="12.75">
      <c r="A12" s="85"/>
      <c r="B12" s="120">
        <f t="shared" si="2"/>
        <v>3</v>
      </c>
      <c r="C12" s="131">
        <f t="shared" si="3"/>
        <v>0</v>
      </c>
      <c r="D12" s="131">
        <f t="shared" si="0"/>
        <v>0</v>
      </c>
      <c r="E12" s="132">
        <f t="shared" si="4"/>
        <v>0</v>
      </c>
      <c r="F12" s="133">
        <f t="shared" si="1"/>
        <v>0</v>
      </c>
      <c r="G12" s="133">
        <f t="shared" si="5"/>
        <v>0</v>
      </c>
      <c r="H12" s="124"/>
      <c r="I12" s="125">
        <f aca="true" t="shared" si="8" ref="I12:I59">+I11+1</f>
        <v>3</v>
      </c>
      <c r="J12" s="134">
        <f aca="true" t="shared" si="9" ref="J12:J48">+J11</f>
        <v>0.01</v>
      </c>
      <c r="K12" s="135">
        <f t="shared" si="6"/>
        <v>942.5724</v>
      </c>
      <c r="L12" s="135">
        <f t="shared" si="7"/>
        <v>18.572400000000016</v>
      </c>
      <c r="M12" s="135">
        <f>+M11+L12</f>
        <v>27.812400000000025</v>
      </c>
      <c r="N12" s="85"/>
      <c r="O12" s="136">
        <f aca="true" t="shared" si="10" ref="O12:O39">+O11</f>
        <v>0.01</v>
      </c>
      <c r="P12" s="137">
        <f aca="true" t="shared" si="11" ref="P12:P39">+P11*O12+P11</f>
        <v>17341.7</v>
      </c>
    </row>
    <row r="13" spans="1:16" ht="12.75">
      <c r="A13" s="85"/>
      <c r="B13" s="120">
        <f t="shared" si="2"/>
        <v>4</v>
      </c>
      <c r="C13" s="131">
        <f t="shared" si="3"/>
        <v>0</v>
      </c>
      <c r="D13" s="131">
        <f t="shared" si="0"/>
        <v>0</v>
      </c>
      <c r="E13" s="132">
        <f t="shared" si="4"/>
        <v>0</v>
      </c>
      <c r="F13" s="133">
        <f t="shared" si="1"/>
        <v>0</v>
      </c>
      <c r="G13" s="133">
        <f t="shared" si="5"/>
        <v>0</v>
      </c>
      <c r="H13" s="124"/>
      <c r="I13" s="125">
        <f t="shared" si="8"/>
        <v>4</v>
      </c>
      <c r="J13" s="134">
        <f t="shared" si="9"/>
        <v>0.01</v>
      </c>
      <c r="K13" s="135">
        <f t="shared" si="6"/>
        <v>951.998124</v>
      </c>
      <c r="L13" s="135">
        <f t="shared" si="7"/>
        <v>27.99812399999996</v>
      </c>
      <c r="M13" s="135">
        <f aca="true" t="shared" si="12" ref="M13:M48">+M12+L13</f>
        <v>55.81052399999999</v>
      </c>
      <c r="N13" s="85"/>
      <c r="O13" s="136">
        <f t="shared" si="10"/>
        <v>0.01</v>
      </c>
      <c r="P13" s="137">
        <f t="shared" si="11"/>
        <v>17515.117000000002</v>
      </c>
    </row>
    <row r="14" spans="1:16" ht="12.75">
      <c r="A14" s="85"/>
      <c r="B14" s="120">
        <f t="shared" si="2"/>
        <v>5</v>
      </c>
      <c r="C14" s="131">
        <f t="shared" si="3"/>
        <v>0</v>
      </c>
      <c r="D14" s="131">
        <f t="shared" si="0"/>
        <v>0</v>
      </c>
      <c r="E14" s="132">
        <f t="shared" si="4"/>
        <v>0</v>
      </c>
      <c r="F14" s="133">
        <f t="shared" si="1"/>
        <v>0</v>
      </c>
      <c r="G14" s="133">
        <f t="shared" si="5"/>
        <v>0</v>
      </c>
      <c r="H14" s="124"/>
      <c r="I14" s="125">
        <f t="shared" si="8"/>
        <v>5</v>
      </c>
      <c r="J14" s="134">
        <f t="shared" si="9"/>
        <v>0.01</v>
      </c>
      <c r="K14" s="135">
        <f t="shared" si="6"/>
        <v>961.51810524</v>
      </c>
      <c r="L14" s="135">
        <f t="shared" si="7"/>
        <v>37.518105239999954</v>
      </c>
      <c r="M14" s="135">
        <f t="shared" si="12"/>
        <v>93.32862923999994</v>
      </c>
      <c r="N14" s="85"/>
      <c r="O14" s="136">
        <f t="shared" si="10"/>
        <v>0.01</v>
      </c>
      <c r="P14" s="137">
        <f t="shared" si="11"/>
        <v>17690.268170000003</v>
      </c>
    </row>
    <row r="15" spans="1:16" ht="12.75">
      <c r="A15" s="85"/>
      <c r="B15" s="120">
        <f t="shared" si="2"/>
        <v>6</v>
      </c>
      <c r="C15" s="131">
        <f t="shared" si="3"/>
        <v>0</v>
      </c>
      <c r="D15" s="131">
        <f t="shared" si="0"/>
        <v>0</v>
      </c>
      <c r="E15" s="132">
        <f t="shared" si="4"/>
        <v>0</v>
      </c>
      <c r="F15" s="133">
        <f t="shared" si="1"/>
        <v>0</v>
      </c>
      <c r="G15" s="133">
        <f t="shared" si="5"/>
        <v>0</v>
      </c>
      <c r="H15" s="124"/>
      <c r="I15" s="125">
        <f t="shared" si="8"/>
        <v>6</v>
      </c>
      <c r="J15" s="134">
        <f t="shared" si="9"/>
        <v>0.01</v>
      </c>
      <c r="K15" s="135">
        <f t="shared" si="6"/>
        <v>971.1332862923999</v>
      </c>
      <c r="L15" s="135">
        <f t="shared" si="7"/>
        <v>47.13328629239993</v>
      </c>
      <c r="M15" s="135">
        <f t="shared" si="12"/>
        <v>140.46191553239987</v>
      </c>
      <c r="N15" s="85"/>
      <c r="O15" s="136">
        <f t="shared" si="10"/>
        <v>0.01</v>
      </c>
      <c r="P15" s="137">
        <f t="shared" si="11"/>
        <v>17867.170851700004</v>
      </c>
    </row>
    <row r="16" spans="1:16" ht="12.75">
      <c r="A16" s="85"/>
      <c r="B16" s="120">
        <f t="shared" si="2"/>
        <v>7</v>
      </c>
      <c r="C16" s="131">
        <f t="shared" si="3"/>
        <v>0</v>
      </c>
      <c r="D16" s="131">
        <f t="shared" si="0"/>
        <v>0</v>
      </c>
      <c r="E16" s="132">
        <f t="shared" si="4"/>
        <v>0</v>
      </c>
      <c r="F16" s="133">
        <f t="shared" si="1"/>
        <v>0</v>
      </c>
      <c r="G16" s="133">
        <f t="shared" si="5"/>
        <v>0</v>
      </c>
      <c r="H16" s="124"/>
      <c r="I16" s="125">
        <f t="shared" si="8"/>
        <v>7</v>
      </c>
      <c r="J16" s="134">
        <f t="shared" si="9"/>
        <v>0.01</v>
      </c>
      <c r="K16" s="135">
        <f t="shared" si="6"/>
        <v>980.8446191553239</v>
      </c>
      <c r="L16" s="135">
        <f t="shared" si="7"/>
        <v>56.844619155323926</v>
      </c>
      <c r="M16" s="135">
        <f t="shared" si="12"/>
        <v>197.3065346877238</v>
      </c>
      <c r="N16" s="85"/>
      <c r="O16" s="136">
        <f t="shared" si="10"/>
        <v>0.01</v>
      </c>
      <c r="P16" s="137">
        <f t="shared" si="11"/>
        <v>18045.842560217003</v>
      </c>
    </row>
    <row r="17" spans="1:16" ht="12.75">
      <c r="A17" s="85"/>
      <c r="B17" s="120">
        <f t="shared" si="2"/>
        <v>8</v>
      </c>
      <c r="C17" s="131">
        <f t="shared" si="3"/>
        <v>0</v>
      </c>
      <c r="D17" s="131">
        <f t="shared" si="0"/>
        <v>0</v>
      </c>
      <c r="E17" s="132">
        <f t="shared" si="4"/>
        <v>0</v>
      </c>
      <c r="F17" s="133">
        <f t="shared" si="1"/>
        <v>0</v>
      </c>
      <c r="G17" s="133">
        <f t="shared" si="5"/>
        <v>0</v>
      </c>
      <c r="H17" s="124"/>
      <c r="I17" s="125">
        <f t="shared" si="8"/>
        <v>8</v>
      </c>
      <c r="J17" s="134">
        <f t="shared" si="9"/>
        <v>0.01</v>
      </c>
      <c r="K17" s="135">
        <f t="shared" si="6"/>
        <v>990.6530653468772</v>
      </c>
      <c r="L17" s="135">
        <f t="shared" si="7"/>
        <v>66.65306534687716</v>
      </c>
      <c r="M17" s="135">
        <f t="shared" si="12"/>
        <v>263.95960003460095</v>
      </c>
      <c r="N17" s="85"/>
      <c r="O17" s="136">
        <f t="shared" si="10"/>
        <v>0.01</v>
      </c>
      <c r="P17" s="137">
        <f t="shared" si="11"/>
        <v>18226.300985819173</v>
      </c>
    </row>
    <row r="18" spans="1:16" ht="12.75">
      <c r="A18" s="85"/>
      <c r="B18" s="120">
        <f t="shared" si="2"/>
        <v>9</v>
      </c>
      <c r="C18" s="131">
        <f t="shared" si="3"/>
        <v>0</v>
      </c>
      <c r="D18" s="131">
        <f t="shared" si="0"/>
        <v>0</v>
      </c>
      <c r="E18" s="132">
        <f t="shared" si="4"/>
        <v>0</v>
      </c>
      <c r="F18" s="133">
        <f t="shared" si="1"/>
        <v>0</v>
      </c>
      <c r="G18" s="133">
        <f t="shared" si="5"/>
        <v>0</v>
      </c>
      <c r="H18" s="124"/>
      <c r="I18" s="125">
        <f t="shared" si="8"/>
        <v>9</v>
      </c>
      <c r="J18" s="134">
        <f t="shared" si="9"/>
        <v>0.01</v>
      </c>
      <c r="K18" s="135">
        <f t="shared" si="6"/>
        <v>1000.5595960003459</v>
      </c>
      <c r="L18" s="135">
        <f t="shared" si="7"/>
        <v>76.55959600034589</v>
      </c>
      <c r="M18" s="135">
        <f t="shared" si="12"/>
        <v>340.51919603494684</v>
      </c>
      <c r="N18" s="85"/>
      <c r="O18" s="136">
        <f t="shared" si="10"/>
        <v>0.01</v>
      </c>
      <c r="P18" s="137">
        <f t="shared" si="11"/>
        <v>18408.563995677363</v>
      </c>
    </row>
    <row r="19" spans="1:16" ht="12.75">
      <c r="A19" s="85"/>
      <c r="B19" s="120">
        <f t="shared" si="2"/>
        <v>10</v>
      </c>
      <c r="C19" s="131">
        <f t="shared" si="3"/>
        <v>0</v>
      </c>
      <c r="D19" s="131">
        <f t="shared" si="0"/>
        <v>0</v>
      </c>
      <c r="E19" s="132">
        <f t="shared" si="4"/>
        <v>0</v>
      </c>
      <c r="F19" s="133">
        <f t="shared" si="1"/>
        <v>0</v>
      </c>
      <c r="G19" s="133">
        <f t="shared" si="5"/>
        <v>0</v>
      </c>
      <c r="H19" s="124"/>
      <c r="I19" s="125">
        <f t="shared" si="8"/>
        <v>10</v>
      </c>
      <c r="J19" s="134">
        <f t="shared" si="9"/>
        <v>0.01</v>
      </c>
      <c r="K19" s="135">
        <f t="shared" si="6"/>
        <v>1010.5651919603494</v>
      </c>
      <c r="L19" s="135">
        <f t="shared" si="7"/>
        <v>86.56519196034935</v>
      </c>
      <c r="M19" s="135">
        <f t="shared" si="12"/>
        <v>427.0843879952962</v>
      </c>
      <c r="N19" s="85"/>
      <c r="O19" s="136">
        <f t="shared" si="10"/>
        <v>0.01</v>
      </c>
      <c r="P19" s="137">
        <f t="shared" si="11"/>
        <v>18592.649635634138</v>
      </c>
    </row>
    <row r="20" spans="1:16" ht="12.75">
      <c r="A20" s="85"/>
      <c r="B20" s="120">
        <f t="shared" si="2"/>
        <v>11</v>
      </c>
      <c r="C20" s="131">
        <f t="shared" si="3"/>
        <v>0</v>
      </c>
      <c r="D20" s="131">
        <f t="shared" si="0"/>
        <v>0</v>
      </c>
      <c r="E20" s="132">
        <f t="shared" si="4"/>
        <v>0</v>
      </c>
      <c r="F20" s="133">
        <f t="shared" si="1"/>
        <v>0</v>
      </c>
      <c r="G20" s="133">
        <f t="shared" si="5"/>
        <v>0</v>
      </c>
      <c r="H20" s="124"/>
      <c r="I20" s="125">
        <f t="shared" si="8"/>
        <v>11</v>
      </c>
      <c r="J20" s="134">
        <f t="shared" si="9"/>
        <v>0.01</v>
      </c>
      <c r="K20" s="135">
        <f t="shared" si="6"/>
        <v>1020.6708438799528</v>
      </c>
      <c r="L20" s="135">
        <f t="shared" si="7"/>
        <v>96.67084387995283</v>
      </c>
      <c r="M20" s="135">
        <f t="shared" si="12"/>
        <v>523.755231875249</v>
      </c>
      <c r="N20" s="85"/>
      <c r="O20" s="136">
        <f t="shared" si="10"/>
        <v>0.01</v>
      </c>
      <c r="P20" s="137">
        <f t="shared" si="11"/>
        <v>18778.576131990478</v>
      </c>
    </row>
    <row r="21" spans="1:16" ht="12.75">
      <c r="A21" s="85"/>
      <c r="B21" s="120">
        <f t="shared" si="2"/>
        <v>12</v>
      </c>
      <c r="C21" s="131">
        <f t="shared" si="3"/>
        <v>0</v>
      </c>
      <c r="D21" s="131">
        <f t="shared" si="0"/>
        <v>0</v>
      </c>
      <c r="E21" s="132">
        <f t="shared" si="4"/>
        <v>0</v>
      </c>
      <c r="F21" s="133">
        <f t="shared" si="1"/>
        <v>0</v>
      </c>
      <c r="G21" s="133">
        <f t="shared" si="5"/>
        <v>0</v>
      </c>
      <c r="H21" s="124"/>
      <c r="I21" s="125">
        <f t="shared" si="8"/>
        <v>12</v>
      </c>
      <c r="J21" s="134">
        <f t="shared" si="9"/>
        <v>0.01</v>
      </c>
      <c r="K21" s="135">
        <f t="shared" si="6"/>
        <v>1030.8775523187524</v>
      </c>
      <c r="L21" s="135">
        <f t="shared" si="7"/>
        <v>106.87755231875235</v>
      </c>
      <c r="M21" s="135">
        <f t="shared" si="12"/>
        <v>630.6327841940014</v>
      </c>
      <c r="N21" s="85"/>
      <c r="O21" s="136">
        <f t="shared" si="10"/>
        <v>0.01</v>
      </c>
      <c r="P21" s="137">
        <f t="shared" si="11"/>
        <v>18966.361893310383</v>
      </c>
    </row>
    <row r="22" spans="1:16" ht="12.75">
      <c r="A22" s="85"/>
      <c r="B22" s="120">
        <f t="shared" si="2"/>
        <v>13</v>
      </c>
      <c r="C22" s="131">
        <f t="shared" si="3"/>
        <v>0</v>
      </c>
      <c r="D22" s="131">
        <f t="shared" si="0"/>
        <v>0</v>
      </c>
      <c r="E22" s="132">
        <f t="shared" si="4"/>
        <v>0</v>
      </c>
      <c r="F22" s="133">
        <f t="shared" si="1"/>
        <v>0</v>
      </c>
      <c r="G22" s="133">
        <f t="shared" si="5"/>
        <v>0</v>
      </c>
      <c r="H22" s="124"/>
      <c r="I22" s="125">
        <f t="shared" si="8"/>
        <v>13</v>
      </c>
      <c r="J22" s="134">
        <f t="shared" si="9"/>
        <v>0.01</v>
      </c>
      <c r="K22" s="135">
        <f t="shared" si="6"/>
        <v>1041.1863278419398</v>
      </c>
      <c r="L22" s="135">
        <f t="shared" si="7"/>
        <v>117.18632784193983</v>
      </c>
      <c r="M22" s="135">
        <f t="shared" si="12"/>
        <v>747.8191120359412</v>
      </c>
      <c r="N22" s="85"/>
      <c r="O22" s="136">
        <f t="shared" si="10"/>
        <v>0.01</v>
      </c>
      <c r="P22" s="137">
        <f t="shared" si="11"/>
        <v>19156.025512243486</v>
      </c>
    </row>
    <row r="23" spans="1:16" ht="12.75">
      <c r="A23" s="85"/>
      <c r="B23" s="120">
        <f t="shared" si="2"/>
        <v>14</v>
      </c>
      <c r="C23" s="131">
        <f t="shared" si="3"/>
        <v>0</v>
      </c>
      <c r="D23" s="131">
        <f t="shared" si="0"/>
        <v>0</v>
      </c>
      <c r="E23" s="132">
        <f t="shared" si="4"/>
        <v>0</v>
      </c>
      <c r="F23" s="133">
        <f t="shared" si="1"/>
        <v>0</v>
      </c>
      <c r="G23" s="133">
        <f t="shared" si="5"/>
        <v>0</v>
      </c>
      <c r="H23" s="124"/>
      <c r="I23" s="125">
        <f t="shared" si="8"/>
        <v>14</v>
      </c>
      <c r="J23" s="134">
        <f t="shared" si="9"/>
        <v>0.01</v>
      </c>
      <c r="K23" s="135">
        <f t="shared" si="6"/>
        <v>1051.5981911203592</v>
      </c>
      <c r="L23" s="135">
        <f t="shared" si="7"/>
        <v>127.59819112035916</v>
      </c>
      <c r="M23" s="135">
        <f t="shared" si="12"/>
        <v>875.4173031563004</v>
      </c>
      <c r="N23" s="85"/>
      <c r="O23" s="136">
        <f t="shared" si="10"/>
        <v>0.01</v>
      </c>
      <c r="P23" s="137">
        <f t="shared" si="11"/>
        <v>19347.585767365923</v>
      </c>
    </row>
    <row r="24" spans="1:16" ht="12.75">
      <c r="A24" s="85"/>
      <c r="B24" s="120">
        <f t="shared" si="2"/>
        <v>15</v>
      </c>
      <c r="C24" s="131">
        <f t="shared" si="3"/>
        <v>0</v>
      </c>
      <c r="D24" s="131">
        <f t="shared" si="0"/>
        <v>0</v>
      </c>
      <c r="E24" s="132">
        <f t="shared" si="4"/>
        <v>0</v>
      </c>
      <c r="F24" s="133">
        <f t="shared" si="1"/>
        <v>0</v>
      </c>
      <c r="G24" s="133">
        <f t="shared" si="5"/>
        <v>0</v>
      </c>
      <c r="H24" s="124"/>
      <c r="I24" s="125">
        <f t="shared" si="8"/>
        <v>15</v>
      </c>
      <c r="J24" s="134">
        <f t="shared" si="9"/>
        <v>0.01</v>
      </c>
      <c r="K24" s="135">
        <f t="shared" si="6"/>
        <v>1062.1141730315628</v>
      </c>
      <c r="L24" s="135">
        <f t="shared" si="7"/>
        <v>138.1141730315628</v>
      </c>
      <c r="M24" s="135">
        <f t="shared" si="12"/>
        <v>1013.5314761878632</v>
      </c>
      <c r="N24" s="85"/>
      <c r="O24" s="136">
        <f t="shared" si="10"/>
        <v>0.01</v>
      </c>
      <c r="P24" s="137">
        <f t="shared" si="11"/>
        <v>19541.061625039583</v>
      </c>
    </row>
    <row r="25" spans="1:16" ht="12.75">
      <c r="A25" s="85"/>
      <c r="B25" s="120">
        <f t="shared" si="2"/>
        <v>16</v>
      </c>
      <c r="C25" s="131">
        <f t="shared" si="3"/>
        <v>0</v>
      </c>
      <c r="D25" s="131">
        <f t="shared" si="0"/>
        <v>0</v>
      </c>
      <c r="E25" s="132">
        <f t="shared" si="4"/>
        <v>0</v>
      </c>
      <c r="F25" s="133">
        <f t="shared" si="1"/>
        <v>0</v>
      </c>
      <c r="G25" s="133">
        <f t="shared" si="5"/>
        <v>0</v>
      </c>
      <c r="H25" s="124"/>
      <c r="I25" s="125">
        <f t="shared" si="8"/>
        <v>16</v>
      </c>
      <c r="J25" s="134">
        <f t="shared" si="9"/>
        <v>0.01</v>
      </c>
      <c r="K25" s="135">
        <f t="shared" si="6"/>
        <v>1072.7353147618785</v>
      </c>
      <c r="L25" s="135">
        <f t="shared" si="7"/>
        <v>148.7353147618785</v>
      </c>
      <c r="M25" s="135">
        <f t="shared" si="12"/>
        <v>1162.2667909497418</v>
      </c>
      <c r="N25" s="85"/>
      <c r="O25" s="136">
        <f t="shared" si="10"/>
        <v>0.01</v>
      </c>
      <c r="P25" s="137">
        <f t="shared" si="11"/>
        <v>19736.47224128998</v>
      </c>
    </row>
    <row r="26" spans="1:16" ht="12.75">
      <c r="A26" s="85"/>
      <c r="B26" s="120">
        <f t="shared" si="2"/>
        <v>17</v>
      </c>
      <c r="C26" s="131">
        <f t="shared" si="3"/>
        <v>0</v>
      </c>
      <c r="D26" s="131">
        <f t="shared" si="0"/>
        <v>0</v>
      </c>
      <c r="E26" s="132">
        <f t="shared" si="4"/>
        <v>0</v>
      </c>
      <c r="F26" s="133">
        <f t="shared" si="1"/>
        <v>0</v>
      </c>
      <c r="G26" s="133">
        <f t="shared" si="5"/>
        <v>0</v>
      </c>
      <c r="H26" s="124"/>
      <c r="I26" s="125">
        <f t="shared" si="8"/>
        <v>17</v>
      </c>
      <c r="J26" s="134">
        <f t="shared" si="9"/>
        <v>0.01</v>
      </c>
      <c r="K26" s="135">
        <f t="shared" si="6"/>
        <v>1083.4626679094972</v>
      </c>
      <c r="L26" s="135">
        <f t="shared" si="7"/>
        <v>159.4626679094972</v>
      </c>
      <c r="M26" s="135">
        <f t="shared" si="12"/>
        <v>1321.729458859239</v>
      </c>
      <c r="N26" s="85"/>
      <c r="O26" s="136">
        <f t="shared" si="10"/>
        <v>0.01</v>
      </c>
      <c r="P26" s="137">
        <f t="shared" si="11"/>
        <v>19933.836963702877</v>
      </c>
    </row>
    <row r="27" spans="1:16" ht="12.75">
      <c r="A27" s="85"/>
      <c r="B27" s="120">
        <f t="shared" si="2"/>
        <v>18</v>
      </c>
      <c r="C27" s="131">
        <f t="shared" si="3"/>
        <v>0</v>
      </c>
      <c r="D27" s="131">
        <f t="shared" si="0"/>
        <v>0</v>
      </c>
      <c r="E27" s="132">
        <f t="shared" si="4"/>
        <v>0</v>
      </c>
      <c r="F27" s="133">
        <f t="shared" si="1"/>
        <v>0</v>
      </c>
      <c r="G27" s="133">
        <f t="shared" si="5"/>
        <v>0</v>
      </c>
      <c r="H27" s="124"/>
      <c r="I27" s="125">
        <f t="shared" si="8"/>
        <v>18</v>
      </c>
      <c r="J27" s="134">
        <f t="shared" si="9"/>
        <v>0.01</v>
      </c>
      <c r="K27" s="135">
        <f t="shared" si="6"/>
        <v>1094.2972945885922</v>
      </c>
      <c r="L27" s="135">
        <f t="shared" si="7"/>
        <v>170.2972945885922</v>
      </c>
      <c r="M27" s="135">
        <f t="shared" si="12"/>
        <v>1492.0267534478312</v>
      </c>
      <c r="N27" s="85"/>
      <c r="O27" s="136">
        <f t="shared" si="10"/>
        <v>0.01</v>
      </c>
      <c r="P27" s="137">
        <f t="shared" si="11"/>
        <v>20133.175333339907</v>
      </c>
    </row>
    <row r="28" spans="1:16" ht="12.75">
      <c r="A28" s="85"/>
      <c r="B28" s="120">
        <f t="shared" si="2"/>
        <v>19</v>
      </c>
      <c r="C28" s="131">
        <f t="shared" si="3"/>
        <v>0</v>
      </c>
      <c r="D28" s="131">
        <f t="shared" si="0"/>
        <v>0</v>
      </c>
      <c r="E28" s="132">
        <f t="shared" si="4"/>
        <v>0</v>
      </c>
      <c r="F28" s="133">
        <f t="shared" si="1"/>
        <v>0</v>
      </c>
      <c r="G28" s="133">
        <f t="shared" si="5"/>
        <v>0</v>
      </c>
      <c r="H28" s="124"/>
      <c r="I28" s="125">
        <f t="shared" si="8"/>
        <v>19</v>
      </c>
      <c r="J28" s="134">
        <f t="shared" si="9"/>
        <v>0.01</v>
      </c>
      <c r="K28" s="135">
        <f t="shared" si="6"/>
        <v>1105.240267534478</v>
      </c>
      <c r="L28" s="135">
        <f t="shared" si="7"/>
        <v>181.2402675344781</v>
      </c>
      <c r="M28" s="135">
        <f t="shared" si="12"/>
        <v>1673.2670209823093</v>
      </c>
      <c r="N28" s="85"/>
      <c r="O28" s="136">
        <f t="shared" si="10"/>
        <v>0.01</v>
      </c>
      <c r="P28" s="137">
        <f t="shared" si="11"/>
        <v>20334.507086673304</v>
      </c>
    </row>
    <row r="29" spans="1:16" ht="12.75">
      <c r="A29" s="85"/>
      <c r="B29" s="120">
        <f t="shared" si="2"/>
        <v>20</v>
      </c>
      <c r="C29" s="131">
        <f t="shared" si="3"/>
        <v>0</v>
      </c>
      <c r="D29" s="131">
        <f t="shared" si="0"/>
        <v>0</v>
      </c>
      <c r="E29" s="132">
        <f t="shared" si="4"/>
        <v>0</v>
      </c>
      <c r="F29" s="133">
        <f t="shared" si="1"/>
        <v>0</v>
      </c>
      <c r="G29" s="133">
        <f t="shared" si="5"/>
        <v>0</v>
      </c>
      <c r="H29" s="124"/>
      <c r="I29" s="125">
        <f t="shared" si="8"/>
        <v>20</v>
      </c>
      <c r="J29" s="134">
        <f t="shared" si="9"/>
        <v>0.01</v>
      </c>
      <c r="K29" s="135">
        <f t="shared" si="6"/>
        <v>1116.292670209823</v>
      </c>
      <c r="L29" s="135">
        <f t="shared" si="7"/>
        <v>192.29267020982297</v>
      </c>
      <c r="M29" s="135">
        <f t="shared" si="12"/>
        <v>1865.5596911921323</v>
      </c>
      <c r="N29" s="85"/>
      <c r="O29" s="136">
        <f t="shared" si="10"/>
        <v>0.01</v>
      </c>
      <c r="P29" s="137">
        <f t="shared" si="11"/>
        <v>20537.852157540037</v>
      </c>
    </row>
    <row r="30" spans="1:16" ht="12.75">
      <c r="A30" s="85"/>
      <c r="B30" s="120">
        <f t="shared" si="2"/>
        <v>21</v>
      </c>
      <c r="C30" s="131">
        <f t="shared" si="3"/>
        <v>0</v>
      </c>
      <c r="D30" s="131">
        <f t="shared" si="0"/>
        <v>0</v>
      </c>
      <c r="E30" s="132">
        <f t="shared" si="4"/>
        <v>0</v>
      </c>
      <c r="F30" s="133">
        <f t="shared" si="1"/>
        <v>0</v>
      </c>
      <c r="G30" s="133">
        <f t="shared" si="5"/>
        <v>0</v>
      </c>
      <c r="H30" s="124"/>
      <c r="I30" s="125">
        <f t="shared" si="8"/>
        <v>21</v>
      </c>
      <c r="J30" s="134">
        <f t="shared" si="9"/>
        <v>0.01</v>
      </c>
      <c r="K30" s="135">
        <f t="shared" si="6"/>
        <v>1127.4555969119212</v>
      </c>
      <c r="L30" s="135">
        <f t="shared" si="7"/>
        <v>203.45559691192125</v>
      </c>
      <c r="M30" s="135">
        <f t="shared" si="12"/>
        <v>2069.0152881040535</v>
      </c>
      <c r="N30" s="85"/>
      <c r="O30" s="136">
        <f t="shared" si="10"/>
        <v>0.01</v>
      </c>
      <c r="P30" s="137">
        <f t="shared" si="11"/>
        <v>20743.230679115437</v>
      </c>
    </row>
    <row r="31" spans="1:16" ht="12.75">
      <c r="A31" s="85"/>
      <c r="B31" s="120">
        <f t="shared" si="2"/>
        <v>22</v>
      </c>
      <c r="C31" s="131">
        <f t="shared" si="3"/>
        <v>0</v>
      </c>
      <c r="D31" s="131">
        <f t="shared" si="0"/>
        <v>0</v>
      </c>
      <c r="E31" s="132">
        <f t="shared" si="4"/>
        <v>0</v>
      </c>
      <c r="F31" s="133">
        <f t="shared" si="1"/>
        <v>0</v>
      </c>
      <c r="G31" s="133">
        <f t="shared" si="5"/>
        <v>0</v>
      </c>
      <c r="H31" s="124"/>
      <c r="I31" s="125">
        <f t="shared" si="8"/>
        <v>22</v>
      </c>
      <c r="J31" s="134">
        <f t="shared" si="9"/>
        <v>0.01</v>
      </c>
      <c r="K31" s="135">
        <f t="shared" si="6"/>
        <v>1138.7301528810406</v>
      </c>
      <c r="L31" s="135">
        <f t="shared" si="7"/>
        <v>214.73015288104057</v>
      </c>
      <c r="M31" s="135">
        <f t="shared" si="12"/>
        <v>2283.7454409850943</v>
      </c>
      <c r="N31" s="85"/>
      <c r="O31" s="136">
        <f t="shared" si="10"/>
        <v>0.01</v>
      </c>
      <c r="P31" s="137">
        <f t="shared" si="11"/>
        <v>20950.66298590659</v>
      </c>
    </row>
    <row r="32" spans="1:16" ht="12.75">
      <c r="A32" s="85"/>
      <c r="B32" s="120">
        <f t="shared" si="2"/>
        <v>23</v>
      </c>
      <c r="C32" s="131">
        <f t="shared" si="3"/>
        <v>0</v>
      </c>
      <c r="D32" s="131">
        <f t="shared" si="0"/>
        <v>0</v>
      </c>
      <c r="E32" s="132">
        <f t="shared" si="4"/>
        <v>0</v>
      </c>
      <c r="F32" s="133">
        <f t="shared" si="1"/>
        <v>0</v>
      </c>
      <c r="G32" s="133">
        <f t="shared" si="5"/>
        <v>0</v>
      </c>
      <c r="H32" s="124"/>
      <c r="I32" s="125">
        <f t="shared" si="8"/>
        <v>23</v>
      </c>
      <c r="J32" s="134">
        <f t="shared" si="9"/>
        <v>0.01</v>
      </c>
      <c r="K32" s="135">
        <f t="shared" si="6"/>
        <v>1150.117454409851</v>
      </c>
      <c r="L32" s="135">
        <f t="shared" si="7"/>
        <v>226.117454409851</v>
      </c>
      <c r="M32" s="135">
        <f t="shared" si="12"/>
        <v>2509.8628953949456</v>
      </c>
      <c r="N32" s="85"/>
      <c r="O32" s="136">
        <f t="shared" si="10"/>
        <v>0.01</v>
      </c>
      <c r="P32" s="137">
        <f t="shared" si="11"/>
        <v>21160.169615765655</v>
      </c>
    </row>
    <row r="33" spans="1:16" ht="12.75">
      <c r="A33" s="85"/>
      <c r="B33" s="120">
        <f t="shared" si="2"/>
        <v>24</v>
      </c>
      <c r="C33" s="131">
        <f t="shared" si="3"/>
        <v>0</v>
      </c>
      <c r="D33" s="131">
        <f t="shared" si="0"/>
        <v>0</v>
      </c>
      <c r="E33" s="132">
        <f t="shared" si="4"/>
        <v>0</v>
      </c>
      <c r="F33" s="133">
        <f t="shared" si="1"/>
        <v>0</v>
      </c>
      <c r="G33" s="133">
        <f t="shared" si="5"/>
        <v>0</v>
      </c>
      <c r="H33" s="124"/>
      <c r="I33" s="125">
        <f t="shared" si="8"/>
        <v>24</v>
      </c>
      <c r="J33" s="134">
        <f t="shared" si="9"/>
        <v>0.01</v>
      </c>
      <c r="K33" s="135">
        <f t="shared" si="6"/>
        <v>1161.6186289539496</v>
      </c>
      <c r="L33" s="135">
        <f t="shared" si="7"/>
        <v>237.6186289539496</v>
      </c>
      <c r="M33" s="135">
        <f t="shared" si="12"/>
        <v>2747.481524348895</v>
      </c>
      <c r="N33" s="85"/>
      <c r="O33" s="136">
        <f t="shared" si="10"/>
        <v>0.01</v>
      </c>
      <c r="P33" s="137">
        <f t="shared" si="11"/>
        <v>21371.771311923312</v>
      </c>
    </row>
    <row r="34" spans="1:16" ht="12.75">
      <c r="A34" s="85"/>
      <c r="B34" s="120">
        <f t="shared" si="2"/>
        <v>25</v>
      </c>
      <c r="C34" s="131">
        <f t="shared" si="3"/>
        <v>0</v>
      </c>
      <c r="D34" s="131">
        <f t="shared" si="0"/>
        <v>0</v>
      </c>
      <c r="E34" s="132">
        <f t="shared" si="4"/>
        <v>0</v>
      </c>
      <c r="F34" s="133">
        <f t="shared" si="1"/>
        <v>0</v>
      </c>
      <c r="G34" s="133">
        <f t="shared" si="5"/>
        <v>0</v>
      </c>
      <c r="H34" s="124"/>
      <c r="I34" s="125">
        <f t="shared" si="8"/>
        <v>25</v>
      </c>
      <c r="J34" s="134">
        <f t="shared" si="9"/>
        <v>0.01</v>
      </c>
      <c r="K34" s="135">
        <f t="shared" si="6"/>
        <v>1173.234815243489</v>
      </c>
      <c r="L34" s="135">
        <f t="shared" si="7"/>
        <v>249.23481524348904</v>
      </c>
      <c r="M34" s="135">
        <f t="shared" si="12"/>
        <v>2996.7163395923844</v>
      </c>
      <c r="N34" s="85"/>
      <c r="O34" s="136">
        <f t="shared" si="10"/>
        <v>0.01</v>
      </c>
      <c r="P34" s="137">
        <f t="shared" si="11"/>
        <v>21585.489025042545</v>
      </c>
    </row>
    <row r="35" spans="1:16" ht="12.75">
      <c r="A35" s="85"/>
      <c r="B35" s="120">
        <f t="shared" si="2"/>
        <v>26</v>
      </c>
      <c r="C35" s="131">
        <f t="shared" si="3"/>
        <v>0</v>
      </c>
      <c r="D35" s="131">
        <f t="shared" si="0"/>
        <v>0</v>
      </c>
      <c r="E35" s="132">
        <f t="shared" si="4"/>
        <v>0</v>
      </c>
      <c r="F35" s="133">
        <f t="shared" si="1"/>
        <v>0</v>
      </c>
      <c r="G35" s="133">
        <f t="shared" si="5"/>
        <v>0</v>
      </c>
      <c r="H35" s="124"/>
      <c r="I35" s="125">
        <f t="shared" si="8"/>
        <v>26</v>
      </c>
      <c r="J35" s="134">
        <f t="shared" si="9"/>
        <v>0.01</v>
      </c>
      <c r="K35" s="135">
        <f t="shared" si="6"/>
        <v>1184.967163395924</v>
      </c>
      <c r="L35" s="135">
        <f t="shared" si="7"/>
        <v>260.967163395924</v>
      </c>
      <c r="M35" s="135">
        <f t="shared" si="12"/>
        <v>3257.6835029883086</v>
      </c>
      <c r="N35" s="85"/>
      <c r="O35" s="136">
        <f t="shared" si="10"/>
        <v>0.01</v>
      </c>
      <c r="P35" s="137">
        <f t="shared" si="11"/>
        <v>21801.34391529297</v>
      </c>
    </row>
    <row r="36" spans="1:16" ht="12.75">
      <c r="A36" s="85"/>
      <c r="B36" s="120">
        <f t="shared" si="2"/>
        <v>27</v>
      </c>
      <c r="C36" s="131">
        <f t="shared" si="3"/>
        <v>0</v>
      </c>
      <c r="D36" s="131">
        <f t="shared" si="0"/>
        <v>0</v>
      </c>
      <c r="E36" s="132">
        <f t="shared" si="4"/>
        <v>0</v>
      </c>
      <c r="F36" s="133">
        <f t="shared" si="1"/>
        <v>0</v>
      </c>
      <c r="G36" s="133">
        <f t="shared" si="5"/>
        <v>0</v>
      </c>
      <c r="H36" s="124"/>
      <c r="I36" s="125">
        <f t="shared" si="8"/>
        <v>27</v>
      </c>
      <c r="J36" s="134">
        <f t="shared" si="9"/>
        <v>0.01</v>
      </c>
      <c r="K36" s="135">
        <f t="shared" si="6"/>
        <v>1196.8168350298831</v>
      </c>
      <c r="L36" s="135">
        <f t="shared" si="7"/>
        <v>272.8168350298831</v>
      </c>
      <c r="M36" s="135">
        <f t="shared" si="12"/>
        <v>3530.5003380181915</v>
      </c>
      <c r="N36" s="85"/>
      <c r="O36" s="136">
        <f t="shared" si="10"/>
        <v>0.01</v>
      </c>
      <c r="P36" s="137">
        <f t="shared" si="11"/>
        <v>22019.3573544459</v>
      </c>
    </row>
    <row r="37" spans="1:16" ht="12.75">
      <c r="A37" s="85"/>
      <c r="B37" s="120">
        <f t="shared" si="2"/>
        <v>28</v>
      </c>
      <c r="C37" s="131">
        <f t="shared" si="3"/>
        <v>0</v>
      </c>
      <c r="D37" s="131">
        <f t="shared" si="0"/>
        <v>0</v>
      </c>
      <c r="E37" s="132">
        <f t="shared" si="4"/>
        <v>0</v>
      </c>
      <c r="F37" s="133">
        <f t="shared" si="1"/>
        <v>0</v>
      </c>
      <c r="G37" s="133">
        <f t="shared" si="5"/>
        <v>0</v>
      </c>
      <c r="H37" s="124"/>
      <c r="I37" s="125">
        <f t="shared" si="8"/>
        <v>28</v>
      </c>
      <c r="J37" s="134">
        <f t="shared" si="9"/>
        <v>0.01</v>
      </c>
      <c r="K37" s="135">
        <f t="shared" si="6"/>
        <v>1208.785003380182</v>
      </c>
      <c r="L37" s="135">
        <f t="shared" si="7"/>
        <v>284.78500338018193</v>
      </c>
      <c r="M37" s="135">
        <f t="shared" si="12"/>
        <v>3815.2853413983735</v>
      </c>
      <c r="N37" s="85"/>
      <c r="O37" s="136">
        <f t="shared" si="10"/>
        <v>0.01</v>
      </c>
      <c r="P37" s="137">
        <f t="shared" si="11"/>
        <v>22239.55092799036</v>
      </c>
    </row>
    <row r="38" spans="1:16" ht="12.75">
      <c r="A38" s="85"/>
      <c r="B38" s="120">
        <f t="shared" si="2"/>
        <v>29</v>
      </c>
      <c r="C38" s="131">
        <f t="shared" si="3"/>
        <v>0</v>
      </c>
      <c r="D38" s="131">
        <f t="shared" si="0"/>
        <v>0</v>
      </c>
      <c r="E38" s="132">
        <f t="shared" si="4"/>
        <v>0</v>
      </c>
      <c r="F38" s="133">
        <f t="shared" si="1"/>
        <v>0</v>
      </c>
      <c r="G38" s="133">
        <f t="shared" si="5"/>
        <v>0</v>
      </c>
      <c r="H38" s="124"/>
      <c r="I38" s="125">
        <f t="shared" si="8"/>
        <v>29</v>
      </c>
      <c r="J38" s="134">
        <f t="shared" si="9"/>
        <v>0.01</v>
      </c>
      <c r="K38" s="135">
        <f t="shared" si="6"/>
        <v>1220.8728534139836</v>
      </c>
      <c r="L38" s="135">
        <f t="shared" si="7"/>
        <v>296.87285341398365</v>
      </c>
      <c r="M38" s="135">
        <f t="shared" si="12"/>
        <v>4112.158194812357</v>
      </c>
      <c r="N38" s="85"/>
      <c r="O38" s="136">
        <f t="shared" si="10"/>
        <v>0.01</v>
      </c>
      <c r="P38" s="137">
        <f t="shared" si="11"/>
        <v>22461.946437270264</v>
      </c>
    </row>
    <row r="39" spans="1:16" ht="12.75">
      <c r="A39" s="85"/>
      <c r="B39" s="120">
        <f t="shared" si="2"/>
        <v>30</v>
      </c>
      <c r="C39" s="131">
        <f t="shared" si="3"/>
        <v>0</v>
      </c>
      <c r="D39" s="131">
        <f t="shared" si="0"/>
        <v>0</v>
      </c>
      <c r="E39" s="132">
        <f t="shared" si="4"/>
        <v>0</v>
      </c>
      <c r="F39" s="133">
        <f t="shared" si="1"/>
        <v>0</v>
      </c>
      <c r="G39" s="133">
        <f t="shared" si="5"/>
        <v>0</v>
      </c>
      <c r="H39" s="124"/>
      <c r="I39" s="125">
        <f t="shared" si="8"/>
        <v>30</v>
      </c>
      <c r="J39" s="134">
        <f t="shared" si="9"/>
        <v>0.01</v>
      </c>
      <c r="K39" s="135">
        <f t="shared" si="6"/>
        <v>1233.0815819481236</v>
      </c>
      <c r="L39" s="135">
        <f t="shared" si="7"/>
        <v>309.0815819481236</v>
      </c>
      <c r="M39" s="135">
        <f t="shared" si="12"/>
        <v>4421.23977676048</v>
      </c>
      <c r="N39" s="85"/>
      <c r="O39" s="138">
        <f t="shared" si="10"/>
        <v>0.01</v>
      </c>
      <c r="P39" s="139">
        <f t="shared" si="11"/>
        <v>22686.565901642967</v>
      </c>
    </row>
    <row r="40" spans="1:16" ht="12.75">
      <c r="A40" s="85"/>
      <c r="B40" s="120">
        <f t="shared" si="2"/>
        <v>31</v>
      </c>
      <c r="C40" s="131">
        <f t="shared" si="3"/>
        <v>0</v>
      </c>
      <c r="D40" s="131">
        <f t="shared" si="0"/>
        <v>0</v>
      </c>
      <c r="E40" s="132">
        <f t="shared" si="4"/>
        <v>0</v>
      </c>
      <c r="F40" s="133">
        <f t="shared" si="1"/>
        <v>0</v>
      </c>
      <c r="G40" s="133">
        <f t="shared" si="5"/>
        <v>0</v>
      </c>
      <c r="H40" s="124"/>
      <c r="I40" s="125">
        <f t="shared" si="8"/>
        <v>31</v>
      </c>
      <c r="J40" s="134">
        <f t="shared" si="9"/>
        <v>0.01</v>
      </c>
      <c r="K40" s="135">
        <f t="shared" si="6"/>
        <v>1245.4123977676047</v>
      </c>
      <c r="L40" s="135">
        <f t="shared" si="7"/>
        <v>321.4123977676047</v>
      </c>
      <c r="M40" s="135">
        <f t="shared" si="12"/>
        <v>4742.652174528084</v>
      </c>
      <c r="N40" s="85"/>
      <c r="O40" s="85"/>
      <c r="P40" s="85"/>
    </row>
    <row r="41" spans="1:16" ht="12.75">
      <c r="A41" s="85"/>
      <c r="B41" s="120">
        <f t="shared" si="2"/>
        <v>32</v>
      </c>
      <c r="C41" s="131">
        <f t="shared" si="3"/>
        <v>0</v>
      </c>
      <c r="D41" s="131">
        <f t="shared" si="0"/>
        <v>0</v>
      </c>
      <c r="E41" s="132">
        <f t="shared" si="4"/>
        <v>0</v>
      </c>
      <c r="F41" s="133">
        <f t="shared" si="1"/>
        <v>0</v>
      </c>
      <c r="G41" s="133">
        <f t="shared" si="5"/>
        <v>0</v>
      </c>
      <c r="H41" s="124"/>
      <c r="I41" s="125">
        <f t="shared" si="8"/>
        <v>32</v>
      </c>
      <c r="J41" s="134">
        <f t="shared" si="9"/>
        <v>0.01</v>
      </c>
      <c r="K41" s="135">
        <f t="shared" si="6"/>
        <v>1257.8665217452808</v>
      </c>
      <c r="L41" s="135">
        <f t="shared" si="7"/>
        <v>333.8665217452808</v>
      </c>
      <c r="M41" s="135">
        <f t="shared" si="12"/>
        <v>5076.518696273365</v>
      </c>
      <c r="N41" s="85"/>
      <c r="O41" s="85"/>
      <c r="P41" s="85"/>
    </row>
    <row r="42" spans="1:16" ht="12.75">
      <c r="A42" s="85"/>
      <c r="B42" s="120">
        <f t="shared" si="2"/>
        <v>33</v>
      </c>
      <c r="C42" s="131">
        <f t="shared" si="3"/>
        <v>0</v>
      </c>
      <c r="D42" s="131">
        <f t="shared" si="0"/>
        <v>0</v>
      </c>
      <c r="E42" s="132">
        <f t="shared" si="4"/>
        <v>0</v>
      </c>
      <c r="F42" s="133">
        <f t="shared" si="1"/>
        <v>0</v>
      </c>
      <c r="G42" s="133">
        <f t="shared" si="5"/>
        <v>0</v>
      </c>
      <c r="H42" s="124"/>
      <c r="I42" s="125">
        <f t="shared" si="8"/>
        <v>33</v>
      </c>
      <c r="J42" s="134">
        <f t="shared" si="9"/>
        <v>0.01</v>
      </c>
      <c r="K42" s="135">
        <f t="shared" si="6"/>
        <v>1270.4451869627337</v>
      </c>
      <c r="L42" s="135">
        <f t="shared" si="7"/>
        <v>346.4451869627337</v>
      </c>
      <c r="M42" s="135">
        <f t="shared" si="12"/>
        <v>5422.963883236099</v>
      </c>
      <c r="N42" s="85"/>
      <c r="O42" s="85"/>
      <c r="P42" s="85"/>
    </row>
    <row r="43" spans="1:16" ht="12.75">
      <c r="A43" s="85"/>
      <c r="B43" s="120">
        <f t="shared" si="2"/>
        <v>34</v>
      </c>
      <c r="C43" s="131">
        <f t="shared" si="3"/>
        <v>0</v>
      </c>
      <c r="D43" s="131">
        <f t="shared" si="0"/>
        <v>0</v>
      </c>
      <c r="E43" s="132">
        <f t="shared" si="4"/>
        <v>0</v>
      </c>
      <c r="F43" s="133">
        <f t="shared" si="1"/>
        <v>0</v>
      </c>
      <c r="G43" s="133">
        <f aca="true" t="shared" si="13" ref="G43:G73">G42+D43</f>
        <v>0</v>
      </c>
      <c r="H43" s="124"/>
      <c r="I43" s="125">
        <f t="shared" si="8"/>
        <v>34</v>
      </c>
      <c r="J43" s="134">
        <f t="shared" si="9"/>
        <v>0.01</v>
      </c>
      <c r="K43" s="135">
        <f t="shared" si="6"/>
        <v>1283.149638832361</v>
      </c>
      <c r="L43" s="135">
        <f t="shared" si="7"/>
        <v>359.149638832361</v>
      </c>
      <c r="M43" s="135">
        <f t="shared" si="12"/>
        <v>5782.11352206846</v>
      </c>
      <c r="N43" s="85"/>
      <c r="O43" s="85"/>
      <c r="P43" s="85"/>
    </row>
    <row r="44" spans="1:16" ht="12.75">
      <c r="A44" s="85"/>
      <c r="B44" s="120">
        <f t="shared" si="2"/>
        <v>35</v>
      </c>
      <c r="C44" s="131">
        <f t="shared" si="3"/>
        <v>0</v>
      </c>
      <c r="D44" s="131">
        <f t="shared" si="0"/>
        <v>0</v>
      </c>
      <c r="E44" s="132">
        <f t="shared" si="4"/>
        <v>0</v>
      </c>
      <c r="F44" s="133">
        <f t="shared" si="1"/>
        <v>0</v>
      </c>
      <c r="G44" s="133">
        <f t="shared" si="13"/>
        <v>0</v>
      </c>
      <c r="H44" s="124"/>
      <c r="I44" s="125">
        <f t="shared" si="8"/>
        <v>35</v>
      </c>
      <c r="J44" s="134">
        <f t="shared" si="9"/>
        <v>0.01</v>
      </c>
      <c r="K44" s="135">
        <f t="shared" si="6"/>
        <v>1295.9811352206846</v>
      </c>
      <c r="L44" s="135">
        <f t="shared" si="7"/>
        <v>371.98113522068456</v>
      </c>
      <c r="M44" s="135">
        <f t="shared" si="12"/>
        <v>6154.094657289144</v>
      </c>
      <c r="N44" s="85"/>
      <c r="O44" s="85"/>
      <c r="P44" s="85"/>
    </row>
    <row r="45" spans="1:16" ht="12.75">
      <c r="A45" s="85"/>
      <c r="B45" s="120">
        <f t="shared" si="2"/>
        <v>36</v>
      </c>
      <c r="C45" s="131">
        <f t="shared" si="3"/>
        <v>0</v>
      </c>
      <c r="D45" s="131">
        <f t="shared" si="0"/>
        <v>0</v>
      </c>
      <c r="E45" s="132">
        <f t="shared" si="4"/>
        <v>0</v>
      </c>
      <c r="F45" s="133">
        <f t="shared" si="1"/>
        <v>0</v>
      </c>
      <c r="G45" s="133">
        <f t="shared" si="13"/>
        <v>0</v>
      </c>
      <c r="H45" s="124"/>
      <c r="I45" s="125">
        <f t="shared" si="8"/>
        <v>36</v>
      </c>
      <c r="J45" s="134">
        <f t="shared" si="9"/>
        <v>0.01</v>
      </c>
      <c r="K45" s="135">
        <f t="shared" si="6"/>
        <v>1308.9409465728913</v>
      </c>
      <c r="L45" s="135">
        <f t="shared" si="7"/>
        <v>384.94094657289133</v>
      </c>
      <c r="M45" s="135">
        <f t="shared" si="12"/>
        <v>6539.035603862036</v>
      </c>
      <c r="N45" s="85"/>
      <c r="O45" s="85"/>
      <c r="P45" s="85"/>
    </row>
    <row r="46" spans="1:16" ht="12.75">
      <c r="A46" s="85"/>
      <c r="B46" s="120">
        <f t="shared" si="2"/>
        <v>37</v>
      </c>
      <c r="C46" s="131">
        <f t="shared" si="3"/>
        <v>0</v>
      </c>
      <c r="D46" s="131">
        <f t="shared" si="0"/>
        <v>0</v>
      </c>
      <c r="E46" s="132">
        <f t="shared" si="4"/>
        <v>0</v>
      </c>
      <c r="F46" s="133">
        <f t="shared" si="1"/>
        <v>0</v>
      </c>
      <c r="G46" s="133">
        <f t="shared" si="13"/>
        <v>0</v>
      </c>
      <c r="H46" s="124"/>
      <c r="I46" s="125">
        <f t="shared" si="8"/>
        <v>37</v>
      </c>
      <c r="J46" s="134">
        <f t="shared" si="9"/>
        <v>0.01</v>
      </c>
      <c r="K46" s="135">
        <f t="shared" si="6"/>
        <v>1322.0303560386203</v>
      </c>
      <c r="L46" s="135">
        <f t="shared" si="7"/>
        <v>398.0303560386203</v>
      </c>
      <c r="M46" s="135">
        <f t="shared" si="12"/>
        <v>6937.065959900656</v>
      </c>
      <c r="N46" s="85"/>
      <c r="O46" s="85"/>
      <c r="P46" s="85"/>
    </row>
    <row r="47" spans="1:16" ht="12.75">
      <c r="A47" s="85"/>
      <c r="B47" s="120">
        <f t="shared" si="2"/>
        <v>38</v>
      </c>
      <c r="C47" s="131">
        <f t="shared" si="3"/>
        <v>0</v>
      </c>
      <c r="D47" s="131">
        <f t="shared" si="0"/>
        <v>0</v>
      </c>
      <c r="E47" s="132">
        <f t="shared" si="4"/>
        <v>0</v>
      </c>
      <c r="F47" s="133">
        <f t="shared" si="1"/>
        <v>0</v>
      </c>
      <c r="G47" s="133">
        <f t="shared" si="13"/>
        <v>0</v>
      </c>
      <c r="H47" s="124"/>
      <c r="I47" s="125">
        <f t="shared" si="8"/>
        <v>38</v>
      </c>
      <c r="J47" s="134">
        <f t="shared" si="9"/>
        <v>0.01</v>
      </c>
      <c r="K47" s="135">
        <f t="shared" si="6"/>
        <v>1335.2506595990064</v>
      </c>
      <c r="L47" s="135">
        <f t="shared" si="7"/>
        <v>411.25065959900644</v>
      </c>
      <c r="M47" s="135">
        <f t="shared" si="12"/>
        <v>7348.316619499662</v>
      </c>
      <c r="N47" s="85"/>
      <c r="O47" s="85"/>
      <c r="P47" s="85"/>
    </row>
    <row r="48" spans="1:16" ht="12.75">
      <c r="A48" s="85"/>
      <c r="B48" s="120">
        <f t="shared" si="2"/>
        <v>39</v>
      </c>
      <c r="C48" s="131">
        <f t="shared" si="3"/>
        <v>0</v>
      </c>
      <c r="D48" s="131">
        <f t="shared" si="0"/>
        <v>0</v>
      </c>
      <c r="E48" s="132">
        <f t="shared" si="4"/>
        <v>0</v>
      </c>
      <c r="F48" s="133">
        <f t="shared" si="1"/>
        <v>0</v>
      </c>
      <c r="G48" s="133">
        <f t="shared" si="13"/>
        <v>0</v>
      </c>
      <c r="H48" s="124"/>
      <c r="I48" s="125">
        <f t="shared" si="8"/>
        <v>39</v>
      </c>
      <c r="J48" s="134">
        <f t="shared" si="9"/>
        <v>0.01</v>
      </c>
      <c r="K48" s="135">
        <f t="shared" si="6"/>
        <v>1348.6031661949964</v>
      </c>
      <c r="L48" s="135">
        <f t="shared" si="7"/>
        <v>424.60316619499645</v>
      </c>
      <c r="M48" s="135">
        <f t="shared" si="12"/>
        <v>7772.9197856946585</v>
      </c>
      <c r="N48" s="85"/>
      <c r="O48" s="85"/>
      <c r="P48" s="85"/>
    </row>
    <row r="49" spans="1:16" ht="12.75">
      <c r="A49" s="85"/>
      <c r="B49" s="120">
        <f t="shared" si="2"/>
        <v>40</v>
      </c>
      <c r="C49" s="131">
        <f t="shared" si="3"/>
        <v>0</v>
      </c>
      <c r="D49" s="131">
        <f t="shared" si="0"/>
        <v>0</v>
      </c>
      <c r="E49" s="132">
        <f t="shared" si="4"/>
        <v>0</v>
      </c>
      <c r="F49" s="133">
        <f t="shared" si="1"/>
        <v>0</v>
      </c>
      <c r="G49" s="133">
        <f t="shared" si="13"/>
        <v>0</v>
      </c>
      <c r="H49" s="124"/>
      <c r="I49" s="117">
        <f t="shared" si="8"/>
        <v>40</v>
      </c>
      <c r="J49" s="140">
        <f aca="true" t="shared" si="14" ref="J49:J59">+J48</f>
        <v>0.01</v>
      </c>
      <c r="K49" s="141">
        <f aca="true" t="shared" si="15" ref="K49:K59">+(K48*J49)+K48</f>
        <v>1362.0891978569464</v>
      </c>
      <c r="L49" s="141">
        <f aca="true" t="shared" si="16" ref="L49:L59">+$K49-$L$10</f>
        <v>438.0891978569464</v>
      </c>
      <c r="M49" s="141">
        <f aca="true" t="shared" si="17" ref="M49:M59">+M48+L49</f>
        <v>8211.008983551605</v>
      </c>
      <c r="N49" s="85"/>
      <c r="O49" s="85"/>
      <c r="P49" s="85"/>
    </row>
    <row r="50" spans="1:16" ht="12.75">
      <c r="A50" s="85"/>
      <c r="B50" s="120">
        <f t="shared" si="2"/>
        <v>41</v>
      </c>
      <c r="C50" s="131">
        <f t="shared" si="3"/>
        <v>0</v>
      </c>
      <c r="D50" s="131">
        <f t="shared" si="0"/>
        <v>0</v>
      </c>
      <c r="E50" s="132">
        <f t="shared" si="4"/>
        <v>0</v>
      </c>
      <c r="F50" s="133">
        <f t="shared" si="1"/>
        <v>0</v>
      </c>
      <c r="G50" s="133">
        <f t="shared" si="13"/>
        <v>0</v>
      </c>
      <c r="H50" s="124"/>
      <c r="I50" s="125">
        <f t="shared" si="8"/>
        <v>41</v>
      </c>
      <c r="J50" s="134">
        <f t="shared" si="14"/>
        <v>0.01</v>
      </c>
      <c r="K50" s="135">
        <f t="shared" si="15"/>
        <v>1375.7100898355159</v>
      </c>
      <c r="L50" s="135">
        <f t="shared" si="16"/>
        <v>451.7100898355159</v>
      </c>
      <c r="M50" s="135">
        <f t="shared" si="17"/>
        <v>8662.719073387121</v>
      </c>
      <c r="N50" s="85"/>
      <c r="O50" s="85"/>
      <c r="P50" s="85"/>
    </row>
    <row r="51" spans="1:16" ht="12.75">
      <c r="A51" s="85"/>
      <c r="B51" s="120">
        <f t="shared" si="2"/>
        <v>42</v>
      </c>
      <c r="C51" s="131">
        <f t="shared" si="3"/>
        <v>0</v>
      </c>
      <c r="D51" s="131">
        <f t="shared" si="0"/>
        <v>0</v>
      </c>
      <c r="E51" s="132">
        <f t="shared" si="4"/>
        <v>0</v>
      </c>
      <c r="F51" s="133">
        <f t="shared" si="1"/>
        <v>0</v>
      </c>
      <c r="G51" s="133">
        <f t="shared" si="13"/>
        <v>0</v>
      </c>
      <c r="H51" s="124"/>
      <c r="I51" s="125">
        <f t="shared" si="8"/>
        <v>42</v>
      </c>
      <c r="J51" s="134">
        <f t="shared" si="14"/>
        <v>0.01</v>
      </c>
      <c r="K51" s="135">
        <f t="shared" si="15"/>
        <v>1389.4671907338711</v>
      </c>
      <c r="L51" s="135">
        <f t="shared" si="16"/>
        <v>465.4671907338711</v>
      </c>
      <c r="M51" s="135">
        <f t="shared" si="17"/>
        <v>9128.186264120992</v>
      </c>
      <c r="N51" s="85"/>
      <c r="O51" s="85"/>
      <c r="P51" s="85"/>
    </row>
    <row r="52" spans="1:16" ht="12.75">
      <c r="A52" s="85"/>
      <c r="B52" s="120">
        <f t="shared" si="2"/>
        <v>43</v>
      </c>
      <c r="C52" s="131">
        <f t="shared" si="3"/>
        <v>0</v>
      </c>
      <c r="D52" s="131">
        <f t="shared" si="0"/>
        <v>0</v>
      </c>
      <c r="E52" s="132">
        <f t="shared" si="4"/>
        <v>0</v>
      </c>
      <c r="F52" s="133">
        <f t="shared" si="1"/>
        <v>0</v>
      </c>
      <c r="G52" s="133">
        <f t="shared" si="13"/>
        <v>0</v>
      </c>
      <c r="H52" s="124"/>
      <c r="I52" s="125">
        <f t="shared" si="8"/>
        <v>43</v>
      </c>
      <c r="J52" s="134">
        <f t="shared" si="14"/>
        <v>0.01</v>
      </c>
      <c r="K52" s="135">
        <f t="shared" si="15"/>
        <v>1403.3618626412099</v>
      </c>
      <c r="L52" s="135">
        <f t="shared" si="16"/>
        <v>479.3618626412099</v>
      </c>
      <c r="M52" s="135">
        <f t="shared" si="17"/>
        <v>9607.548126762202</v>
      </c>
      <c r="N52" s="85"/>
      <c r="O52" s="85"/>
      <c r="P52" s="85"/>
    </row>
    <row r="53" spans="1:16" ht="12.75">
      <c r="A53" s="85"/>
      <c r="B53" s="120">
        <f t="shared" si="2"/>
        <v>44</v>
      </c>
      <c r="C53" s="131">
        <f t="shared" si="3"/>
        <v>0</v>
      </c>
      <c r="D53" s="131">
        <f t="shared" si="0"/>
        <v>0</v>
      </c>
      <c r="E53" s="132">
        <f t="shared" si="4"/>
        <v>0</v>
      </c>
      <c r="F53" s="133">
        <f t="shared" si="1"/>
        <v>0</v>
      </c>
      <c r="G53" s="133">
        <f t="shared" si="13"/>
        <v>0</v>
      </c>
      <c r="H53" s="124"/>
      <c r="I53" s="125">
        <f t="shared" si="8"/>
        <v>44</v>
      </c>
      <c r="J53" s="134">
        <f t="shared" si="14"/>
        <v>0.01</v>
      </c>
      <c r="K53" s="135">
        <f t="shared" si="15"/>
        <v>1417.395481267622</v>
      </c>
      <c r="L53" s="135">
        <f t="shared" si="16"/>
        <v>493.395481267622</v>
      </c>
      <c r="M53" s="135">
        <f t="shared" si="17"/>
        <v>10100.943608029824</v>
      </c>
      <c r="N53" s="85"/>
      <c r="O53" s="85"/>
      <c r="P53" s="85"/>
    </row>
    <row r="54" spans="1:16" ht="12.75">
      <c r="A54" s="85"/>
      <c r="B54" s="120">
        <f t="shared" si="2"/>
        <v>45</v>
      </c>
      <c r="C54" s="131">
        <f t="shared" si="3"/>
        <v>0</v>
      </c>
      <c r="D54" s="131">
        <f t="shared" si="0"/>
        <v>0</v>
      </c>
      <c r="E54" s="132">
        <f t="shared" si="4"/>
        <v>0</v>
      </c>
      <c r="F54" s="133">
        <f t="shared" si="1"/>
        <v>0</v>
      </c>
      <c r="G54" s="133">
        <f t="shared" si="13"/>
        <v>0</v>
      </c>
      <c r="H54" s="124"/>
      <c r="I54" s="125">
        <f t="shared" si="8"/>
        <v>45</v>
      </c>
      <c r="J54" s="134">
        <f t="shared" si="14"/>
        <v>0.01</v>
      </c>
      <c r="K54" s="135">
        <f t="shared" si="15"/>
        <v>1431.5694360802981</v>
      </c>
      <c r="L54" s="135">
        <f t="shared" si="16"/>
        <v>507.56943608029815</v>
      </c>
      <c r="M54" s="135">
        <f t="shared" si="17"/>
        <v>10608.513044110121</v>
      </c>
      <c r="N54" s="85"/>
      <c r="O54" s="85"/>
      <c r="P54" s="85"/>
    </row>
    <row r="55" spans="1:16" ht="12.75">
      <c r="A55" s="85"/>
      <c r="B55" s="120">
        <f t="shared" si="2"/>
        <v>46</v>
      </c>
      <c r="C55" s="131">
        <f t="shared" si="3"/>
        <v>0</v>
      </c>
      <c r="D55" s="131">
        <f t="shared" si="0"/>
        <v>0</v>
      </c>
      <c r="E55" s="132">
        <f t="shared" si="4"/>
        <v>0</v>
      </c>
      <c r="F55" s="133">
        <f t="shared" si="1"/>
        <v>0</v>
      </c>
      <c r="G55" s="133">
        <f t="shared" si="13"/>
        <v>0</v>
      </c>
      <c r="H55" s="124"/>
      <c r="I55" s="125">
        <f t="shared" si="8"/>
        <v>46</v>
      </c>
      <c r="J55" s="134">
        <f t="shared" si="14"/>
        <v>0.01</v>
      </c>
      <c r="K55" s="135">
        <f t="shared" si="15"/>
        <v>1445.8851304411012</v>
      </c>
      <c r="L55" s="135">
        <f t="shared" si="16"/>
        <v>521.8851304411012</v>
      </c>
      <c r="M55" s="135">
        <f t="shared" si="17"/>
        <v>11130.398174551223</v>
      </c>
      <c r="N55" s="85"/>
      <c r="O55" s="85"/>
      <c r="P55" s="85"/>
    </row>
    <row r="56" spans="1:16" ht="12.75">
      <c r="A56" s="85"/>
      <c r="B56" s="120">
        <f t="shared" si="2"/>
        <v>47</v>
      </c>
      <c r="C56" s="131">
        <f t="shared" si="3"/>
        <v>0</v>
      </c>
      <c r="D56" s="131">
        <f t="shared" si="0"/>
        <v>0</v>
      </c>
      <c r="E56" s="132">
        <f t="shared" si="4"/>
        <v>0</v>
      </c>
      <c r="F56" s="133">
        <f t="shared" si="1"/>
        <v>0</v>
      </c>
      <c r="G56" s="133">
        <f t="shared" si="13"/>
        <v>0</v>
      </c>
      <c r="H56" s="124"/>
      <c r="I56" s="125">
        <f t="shared" si="8"/>
        <v>47</v>
      </c>
      <c r="J56" s="134">
        <f t="shared" si="14"/>
        <v>0.01</v>
      </c>
      <c r="K56" s="135">
        <f t="shared" si="15"/>
        <v>1460.343981745512</v>
      </c>
      <c r="L56" s="135">
        <f t="shared" si="16"/>
        <v>536.3439817455121</v>
      </c>
      <c r="M56" s="135">
        <f t="shared" si="17"/>
        <v>11666.742156296736</v>
      </c>
      <c r="N56" s="85"/>
      <c r="O56" s="85"/>
      <c r="P56" s="85"/>
    </row>
    <row r="57" spans="1:16" ht="12.75">
      <c r="A57" s="85"/>
      <c r="B57" s="120">
        <f t="shared" si="2"/>
        <v>48</v>
      </c>
      <c r="C57" s="131">
        <f t="shared" si="3"/>
        <v>0</v>
      </c>
      <c r="D57" s="131">
        <f t="shared" si="0"/>
        <v>0</v>
      </c>
      <c r="E57" s="132">
        <f t="shared" si="4"/>
        <v>0</v>
      </c>
      <c r="F57" s="133">
        <f t="shared" si="1"/>
        <v>0</v>
      </c>
      <c r="G57" s="133">
        <f t="shared" si="13"/>
        <v>0</v>
      </c>
      <c r="H57" s="124"/>
      <c r="I57" s="125">
        <f t="shared" si="8"/>
        <v>48</v>
      </c>
      <c r="J57" s="134">
        <f t="shared" si="14"/>
        <v>0.01</v>
      </c>
      <c r="K57" s="135">
        <f t="shared" si="15"/>
        <v>1474.9474215629673</v>
      </c>
      <c r="L57" s="135">
        <f t="shared" si="16"/>
        <v>550.9474215629673</v>
      </c>
      <c r="M57" s="135">
        <f t="shared" si="17"/>
        <v>12217.689577859703</v>
      </c>
      <c r="N57" s="85"/>
      <c r="O57" s="85"/>
      <c r="P57" s="85"/>
    </row>
    <row r="58" spans="1:16" ht="12.75">
      <c r="A58" s="85"/>
      <c r="B58" s="120">
        <f t="shared" si="2"/>
        <v>49</v>
      </c>
      <c r="C58" s="131">
        <f t="shared" si="3"/>
        <v>0</v>
      </c>
      <c r="D58" s="131">
        <f t="shared" si="0"/>
        <v>0</v>
      </c>
      <c r="E58" s="132">
        <f t="shared" si="4"/>
        <v>0</v>
      </c>
      <c r="F58" s="133">
        <f t="shared" si="1"/>
        <v>0</v>
      </c>
      <c r="G58" s="133">
        <f t="shared" si="13"/>
        <v>0</v>
      </c>
      <c r="H58" s="124"/>
      <c r="I58" s="125">
        <f t="shared" si="8"/>
        <v>49</v>
      </c>
      <c r="J58" s="134">
        <f t="shared" si="14"/>
        <v>0.01</v>
      </c>
      <c r="K58" s="135">
        <f t="shared" si="15"/>
        <v>1489.6968957785969</v>
      </c>
      <c r="L58" s="135">
        <f t="shared" si="16"/>
        <v>565.6968957785969</v>
      </c>
      <c r="M58" s="135">
        <f t="shared" si="17"/>
        <v>12783.3864736383</v>
      </c>
      <c r="N58" s="85"/>
      <c r="O58" s="85"/>
      <c r="P58" s="85"/>
    </row>
    <row r="59" spans="1:16" ht="12.75">
      <c r="A59" s="85"/>
      <c r="B59" s="120">
        <f t="shared" si="2"/>
        <v>50</v>
      </c>
      <c r="C59" s="131">
        <f t="shared" si="3"/>
        <v>0</v>
      </c>
      <c r="D59" s="131">
        <f t="shared" si="0"/>
        <v>0</v>
      </c>
      <c r="E59" s="132">
        <f t="shared" si="4"/>
        <v>0</v>
      </c>
      <c r="F59" s="133">
        <f t="shared" si="1"/>
        <v>0</v>
      </c>
      <c r="G59" s="133">
        <f t="shared" si="13"/>
        <v>0</v>
      </c>
      <c r="H59" s="124"/>
      <c r="I59" s="117">
        <f t="shared" si="8"/>
        <v>50</v>
      </c>
      <c r="J59" s="140">
        <f t="shared" si="14"/>
        <v>0.01</v>
      </c>
      <c r="K59" s="141">
        <f t="shared" si="15"/>
        <v>1504.5938647363828</v>
      </c>
      <c r="L59" s="141">
        <f t="shared" si="16"/>
        <v>580.5938647363828</v>
      </c>
      <c r="M59" s="141">
        <f t="shared" si="17"/>
        <v>13363.980338374684</v>
      </c>
      <c r="N59" s="85"/>
      <c r="O59" s="85"/>
      <c r="P59" s="85"/>
    </row>
    <row r="60" spans="1:16" ht="12.75">
      <c r="A60" s="85"/>
      <c r="B60" s="120">
        <f t="shared" si="2"/>
        <v>51</v>
      </c>
      <c r="C60" s="131">
        <f t="shared" si="3"/>
        <v>0</v>
      </c>
      <c r="D60" s="131">
        <f t="shared" si="0"/>
        <v>0</v>
      </c>
      <c r="E60" s="132">
        <f t="shared" si="4"/>
        <v>0</v>
      </c>
      <c r="F60" s="133">
        <f t="shared" si="1"/>
        <v>0</v>
      </c>
      <c r="G60" s="133">
        <f t="shared" si="13"/>
        <v>0</v>
      </c>
      <c r="H60" s="124"/>
      <c r="I60" s="84"/>
      <c r="J60" s="86"/>
      <c r="K60" s="85"/>
      <c r="L60" s="85"/>
      <c r="M60" s="85"/>
      <c r="N60" s="85"/>
      <c r="O60" s="85"/>
      <c r="P60" s="85"/>
    </row>
    <row r="61" spans="1:16" ht="12.75">
      <c r="A61" s="85"/>
      <c r="B61" s="120">
        <f t="shared" si="2"/>
        <v>52</v>
      </c>
      <c r="C61" s="131">
        <f t="shared" si="3"/>
        <v>0</v>
      </c>
      <c r="D61" s="131">
        <f t="shared" si="0"/>
        <v>0</v>
      </c>
      <c r="E61" s="132">
        <f t="shared" si="4"/>
        <v>0</v>
      </c>
      <c r="F61" s="133">
        <f t="shared" si="1"/>
        <v>0</v>
      </c>
      <c r="G61" s="133">
        <f t="shared" si="13"/>
        <v>0</v>
      </c>
      <c r="H61" s="124"/>
      <c r="I61" s="84"/>
      <c r="J61" s="86"/>
      <c r="K61" s="85"/>
      <c r="L61" s="85"/>
      <c r="M61" s="85"/>
      <c r="N61" s="85"/>
      <c r="O61" s="85"/>
      <c r="P61" s="85"/>
    </row>
    <row r="62" spans="1:16" ht="12.75">
      <c r="A62" s="85"/>
      <c r="B62" s="120">
        <f t="shared" si="2"/>
        <v>53</v>
      </c>
      <c r="C62" s="131">
        <f t="shared" si="3"/>
        <v>0</v>
      </c>
      <c r="D62" s="131">
        <f t="shared" si="0"/>
        <v>0</v>
      </c>
      <c r="E62" s="132">
        <f t="shared" si="4"/>
        <v>0</v>
      </c>
      <c r="F62" s="133">
        <f t="shared" si="1"/>
        <v>0</v>
      </c>
      <c r="G62" s="133">
        <f t="shared" si="13"/>
        <v>0</v>
      </c>
      <c r="H62" s="124"/>
      <c r="I62" s="84"/>
      <c r="J62" s="86"/>
      <c r="K62" s="85"/>
      <c r="L62" s="85"/>
      <c r="M62" s="85"/>
      <c r="N62" s="85"/>
      <c r="O62" s="85"/>
      <c r="P62" s="85"/>
    </row>
    <row r="63" spans="1:16" ht="12.75">
      <c r="A63" s="85"/>
      <c r="B63" s="120">
        <f t="shared" si="2"/>
        <v>54</v>
      </c>
      <c r="C63" s="131">
        <f t="shared" si="3"/>
        <v>0</v>
      </c>
      <c r="D63" s="131">
        <f t="shared" si="0"/>
        <v>0</v>
      </c>
      <c r="E63" s="132">
        <f t="shared" si="4"/>
        <v>0</v>
      </c>
      <c r="F63" s="133">
        <f t="shared" si="1"/>
        <v>0</v>
      </c>
      <c r="G63" s="133">
        <f t="shared" si="13"/>
        <v>0</v>
      </c>
      <c r="H63" s="124"/>
      <c r="I63" s="84"/>
      <c r="J63" s="86"/>
      <c r="K63" s="85"/>
      <c r="L63" s="85"/>
      <c r="M63" s="85"/>
      <c r="N63" s="85"/>
      <c r="O63" s="85"/>
      <c r="P63" s="85"/>
    </row>
    <row r="64" spans="1:16" ht="12.75">
      <c r="A64" s="85"/>
      <c r="B64" s="120">
        <f t="shared" si="2"/>
        <v>55</v>
      </c>
      <c r="C64" s="131">
        <f t="shared" si="3"/>
        <v>0</v>
      </c>
      <c r="D64" s="131">
        <f t="shared" si="0"/>
        <v>0</v>
      </c>
      <c r="E64" s="132">
        <f t="shared" si="4"/>
        <v>0</v>
      </c>
      <c r="F64" s="133">
        <f t="shared" si="1"/>
        <v>0</v>
      </c>
      <c r="G64" s="133">
        <f t="shared" si="13"/>
        <v>0</v>
      </c>
      <c r="H64" s="124"/>
      <c r="I64" s="84"/>
      <c r="J64" s="86"/>
      <c r="K64" s="85"/>
      <c r="L64" s="85"/>
      <c r="M64" s="85"/>
      <c r="N64" s="85"/>
      <c r="O64" s="85"/>
      <c r="P64" s="85"/>
    </row>
    <row r="65" spans="1:16" ht="12.75">
      <c r="A65" s="85"/>
      <c r="B65" s="120">
        <f t="shared" si="2"/>
        <v>56</v>
      </c>
      <c r="C65" s="131">
        <f t="shared" si="3"/>
        <v>0</v>
      </c>
      <c r="D65" s="131">
        <f t="shared" si="0"/>
        <v>0</v>
      </c>
      <c r="E65" s="132">
        <f t="shared" si="4"/>
        <v>0</v>
      </c>
      <c r="F65" s="133">
        <f t="shared" si="1"/>
        <v>0</v>
      </c>
      <c r="G65" s="133">
        <f t="shared" si="13"/>
        <v>0</v>
      </c>
      <c r="H65" s="124"/>
      <c r="I65" s="84"/>
      <c r="J65" s="86"/>
      <c r="K65" s="85"/>
      <c r="L65" s="85"/>
      <c r="M65" s="85"/>
      <c r="N65" s="85"/>
      <c r="O65" s="85"/>
      <c r="P65" s="85"/>
    </row>
    <row r="66" spans="1:16" ht="12.75">
      <c r="A66" s="85"/>
      <c r="B66" s="120">
        <f t="shared" si="2"/>
        <v>57</v>
      </c>
      <c r="C66" s="131">
        <f t="shared" si="3"/>
        <v>0</v>
      </c>
      <c r="D66" s="131">
        <f t="shared" si="0"/>
        <v>0</v>
      </c>
      <c r="E66" s="132">
        <f t="shared" si="4"/>
        <v>0</v>
      </c>
      <c r="F66" s="133">
        <f t="shared" si="1"/>
        <v>0</v>
      </c>
      <c r="G66" s="133">
        <f t="shared" si="13"/>
        <v>0</v>
      </c>
      <c r="H66" s="124"/>
      <c r="I66" s="84"/>
      <c r="J66" s="86"/>
      <c r="K66" s="85"/>
      <c r="L66" s="85"/>
      <c r="M66" s="85"/>
      <c r="N66" s="85"/>
      <c r="O66" s="85"/>
      <c r="P66" s="85"/>
    </row>
    <row r="67" spans="1:16" ht="12.75">
      <c r="A67" s="85"/>
      <c r="B67" s="120">
        <f t="shared" si="2"/>
        <v>58</v>
      </c>
      <c r="C67" s="131">
        <f t="shared" si="3"/>
        <v>0</v>
      </c>
      <c r="D67" s="131">
        <f t="shared" si="0"/>
        <v>0</v>
      </c>
      <c r="E67" s="132">
        <f t="shared" si="4"/>
        <v>0</v>
      </c>
      <c r="F67" s="133">
        <f t="shared" si="1"/>
        <v>0</v>
      </c>
      <c r="G67" s="133">
        <f t="shared" si="13"/>
        <v>0</v>
      </c>
      <c r="H67" s="124"/>
      <c r="I67" s="84"/>
      <c r="J67" s="86"/>
      <c r="K67" s="85"/>
      <c r="L67" s="85"/>
      <c r="M67" s="85"/>
      <c r="N67" s="85"/>
      <c r="O67" s="85"/>
      <c r="P67" s="85"/>
    </row>
    <row r="68" spans="1:16" ht="12.75">
      <c r="A68" s="85"/>
      <c r="B68" s="120">
        <f t="shared" si="2"/>
        <v>59</v>
      </c>
      <c r="C68" s="131">
        <f t="shared" si="3"/>
        <v>0</v>
      </c>
      <c r="D68" s="131">
        <f t="shared" si="0"/>
        <v>0</v>
      </c>
      <c r="E68" s="132">
        <f t="shared" si="4"/>
        <v>0</v>
      </c>
      <c r="F68" s="133">
        <f t="shared" si="1"/>
        <v>0</v>
      </c>
      <c r="G68" s="133">
        <f t="shared" si="13"/>
        <v>0</v>
      </c>
      <c r="H68" s="124"/>
      <c r="I68" s="84"/>
      <c r="J68" s="86"/>
      <c r="K68" s="85"/>
      <c r="L68" s="85"/>
      <c r="M68" s="85"/>
      <c r="N68" s="85"/>
      <c r="O68" s="85"/>
      <c r="P68" s="85"/>
    </row>
    <row r="69" spans="1:16" ht="12.75">
      <c r="A69" s="85"/>
      <c r="B69" s="120">
        <f t="shared" si="2"/>
        <v>60</v>
      </c>
      <c r="C69" s="131">
        <f t="shared" si="3"/>
        <v>0</v>
      </c>
      <c r="D69" s="131">
        <f t="shared" si="0"/>
        <v>0</v>
      </c>
      <c r="E69" s="132">
        <f t="shared" si="4"/>
        <v>0</v>
      </c>
      <c r="F69" s="133">
        <f t="shared" si="1"/>
        <v>0</v>
      </c>
      <c r="G69" s="133">
        <f t="shared" si="13"/>
        <v>0</v>
      </c>
      <c r="H69" s="124"/>
      <c r="I69" s="84"/>
      <c r="J69" s="86"/>
      <c r="K69" s="85"/>
      <c r="L69" s="85"/>
      <c r="M69" s="85"/>
      <c r="N69" s="85"/>
      <c r="O69" s="85"/>
      <c r="P69" s="85"/>
    </row>
    <row r="70" spans="1:16" ht="12.75">
      <c r="A70" s="85"/>
      <c r="B70" s="120">
        <f t="shared" si="2"/>
        <v>61</v>
      </c>
      <c r="C70" s="131">
        <f t="shared" si="3"/>
        <v>0</v>
      </c>
      <c r="D70" s="131">
        <f t="shared" si="0"/>
        <v>0</v>
      </c>
      <c r="E70" s="132">
        <f t="shared" si="4"/>
        <v>0</v>
      </c>
      <c r="F70" s="133">
        <f t="shared" si="1"/>
        <v>0</v>
      </c>
      <c r="G70" s="133">
        <f t="shared" si="13"/>
        <v>0</v>
      </c>
      <c r="H70" s="124"/>
      <c r="I70" s="84"/>
      <c r="J70" s="86"/>
      <c r="K70" s="85"/>
      <c r="L70" s="85"/>
      <c r="M70" s="85"/>
      <c r="N70" s="85"/>
      <c r="O70" s="85"/>
      <c r="P70" s="85"/>
    </row>
    <row r="71" spans="1:16" ht="12.75">
      <c r="A71" s="85"/>
      <c r="B71" s="120">
        <f t="shared" si="2"/>
        <v>62</v>
      </c>
      <c r="C71" s="131">
        <f t="shared" si="3"/>
        <v>0</v>
      </c>
      <c r="D71" s="131">
        <f t="shared" si="0"/>
        <v>0</v>
      </c>
      <c r="E71" s="132">
        <f t="shared" si="4"/>
        <v>0</v>
      </c>
      <c r="F71" s="133">
        <f t="shared" si="1"/>
        <v>0</v>
      </c>
      <c r="G71" s="133">
        <f t="shared" si="13"/>
        <v>0</v>
      </c>
      <c r="H71" s="124"/>
      <c r="I71" s="84"/>
      <c r="J71" s="86"/>
      <c r="K71" s="85"/>
      <c r="L71" s="85"/>
      <c r="M71" s="85"/>
      <c r="N71" s="85"/>
      <c r="O71" s="85"/>
      <c r="P71" s="85"/>
    </row>
    <row r="72" spans="1:16" ht="12.75">
      <c r="A72" s="85"/>
      <c r="B72" s="120">
        <f t="shared" si="2"/>
        <v>63</v>
      </c>
      <c r="C72" s="131">
        <f t="shared" si="3"/>
        <v>0</v>
      </c>
      <c r="D72" s="131">
        <f t="shared" si="0"/>
        <v>0</v>
      </c>
      <c r="E72" s="132">
        <f t="shared" si="4"/>
        <v>0</v>
      </c>
      <c r="F72" s="133">
        <f t="shared" si="1"/>
        <v>0</v>
      </c>
      <c r="G72" s="133">
        <f t="shared" si="13"/>
        <v>0</v>
      </c>
      <c r="H72" s="124"/>
      <c r="I72" s="84"/>
      <c r="J72" s="86"/>
      <c r="K72" s="85"/>
      <c r="L72" s="85"/>
      <c r="M72" s="85"/>
      <c r="N72" s="85"/>
      <c r="O72" s="85"/>
      <c r="P72" s="85"/>
    </row>
    <row r="73" spans="1:16" ht="12.75">
      <c r="A73" s="85"/>
      <c r="B73" s="120">
        <f t="shared" si="2"/>
        <v>64</v>
      </c>
      <c r="C73" s="131">
        <f t="shared" si="3"/>
        <v>0</v>
      </c>
      <c r="D73" s="131">
        <f t="shared" si="0"/>
        <v>0</v>
      </c>
      <c r="E73" s="132">
        <f t="shared" si="4"/>
        <v>0</v>
      </c>
      <c r="F73" s="133">
        <f t="shared" si="1"/>
        <v>0</v>
      </c>
      <c r="G73" s="133">
        <f t="shared" si="13"/>
        <v>0</v>
      </c>
      <c r="H73" s="124"/>
      <c r="I73" s="84"/>
      <c r="J73" s="86"/>
      <c r="K73" s="85"/>
      <c r="L73" s="85"/>
      <c r="M73" s="85"/>
      <c r="N73" s="85"/>
      <c r="O73" s="85"/>
      <c r="P73" s="85"/>
    </row>
    <row r="74" spans="1:16" ht="12.75">
      <c r="A74" s="85"/>
      <c r="B74" s="120">
        <f t="shared" si="2"/>
        <v>65</v>
      </c>
      <c r="C74" s="131">
        <f t="shared" si="3"/>
        <v>0</v>
      </c>
      <c r="D74" s="131">
        <f aca="true" t="shared" si="18" ref="D74:D137">IF(C74&gt;0,(Rate/100)/Period*Beginning_balance,0)</f>
        <v>0</v>
      </c>
      <c r="E74" s="132">
        <f t="shared" si="4"/>
        <v>0</v>
      </c>
      <c r="F74" s="133">
        <f aca="true" t="shared" si="19" ref="F74:F137">IF(C74&gt;1,(C74-E74),0)</f>
        <v>0</v>
      </c>
      <c r="G74" s="133">
        <f>G72+D74</f>
        <v>0</v>
      </c>
      <c r="H74" s="124"/>
      <c r="I74" s="84"/>
      <c r="J74" s="86"/>
      <c r="K74" s="85"/>
      <c r="L74" s="85"/>
      <c r="M74" s="85"/>
      <c r="N74" s="85"/>
      <c r="O74" s="85"/>
      <c r="P74" s="85"/>
    </row>
    <row r="75" spans="1:16" ht="12.75">
      <c r="A75" s="85"/>
      <c r="B75" s="120">
        <f aca="true" t="shared" si="20" ref="B75:B138">+B74+1</f>
        <v>66</v>
      </c>
      <c r="C75" s="131">
        <f aca="true" t="shared" si="21" ref="C75:C138">IF(F74&gt;0,F74,0)</f>
        <v>0</v>
      </c>
      <c r="D75" s="131">
        <f t="shared" si="18"/>
        <v>0</v>
      </c>
      <c r="E75" s="132">
        <f aca="true" t="shared" si="22" ref="E75:E138">IF(C75&lt;1,0,(Payment-Interest))</f>
        <v>0</v>
      </c>
      <c r="F75" s="133">
        <f t="shared" si="19"/>
        <v>0</v>
      </c>
      <c r="G75" s="133">
        <f aca="true" t="shared" si="23" ref="G75:G106">G74+D75</f>
        <v>0</v>
      </c>
      <c r="H75" s="124"/>
      <c r="I75" s="84"/>
      <c r="J75" s="86"/>
      <c r="K75" s="85"/>
      <c r="L75" s="85"/>
      <c r="M75" s="85"/>
      <c r="N75" s="85"/>
      <c r="O75" s="85"/>
      <c r="P75" s="85"/>
    </row>
    <row r="76" spans="1:16" ht="12.75">
      <c r="A76" s="85"/>
      <c r="B76" s="120">
        <f t="shared" si="20"/>
        <v>67</v>
      </c>
      <c r="C76" s="131">
        <f t="shared" si="21"/>
        <v>0</v>
      </c>
      <c r="D76" s="131">
        <f t="shared" si="18"/>
        <v>0</v>
      </c>
      <c r="E76" s="132">
        <f t="shared" si="22"/>
        <v>0</v>
      </c>
      <c r="F76" s="133">
        <f t="shared" si="19"/>
        <v>0</v>
      </c>
      <c r="G76" s="133">
        <f t="shared" si="23"/>
        <v>0</v>
      </c>
      <c r="H76" s="124"/>
      <c r="I76" s="84"/>
      <c r="J76" s="86"/>
      <c r="K76" s="85"/>
      <c r="L76" s="85"/>
      <c r="M76" s="85"/>
      <c r="N76" s="85"/>
      <c r="O76" s="85"/>
      <c r="P76" s="85"/>
    </row>
    <row r="77" spans="1:16" ht="12.75">
      <c r="A77" s="85"/>
      <c r="B77" s="120">
        <f t="shared" si="20"/>
        <v>68</v>
      </c>
      <c r="C77" s="131">
        <f t="shared" si="21"/>
        <v>0</v>
      </c>
      <c r="D77" s="131">
        <f t="shared" si="18"/>
        <v>0</v>
      </c>
      <c r="E77" s="132">
        <f t="shared" si="22"/>
        <v>0</v>
      </c>
      <c r="F77" s="133">
        <f t="shared" si="19"/>
        <v>0</v>
      </c>
      <c r="G77" s="133">
        <f t="shared" si="23"/>
        <v>0</v>
      </c>
      <c r="H77" s="124"/>
      <c r="I77" s="84"/>
      <c r="J77" s="86"/>
      <c r="K77" s="85"/>
      <c r="L77" s="85"/>
      <c r="M77" s="85"/>
      <c r="N77" s="85"/>
      <c r="O77" s="85"/>
      <c r="P77" s="85"/>
    </row>
    <row r="78" spans="1:16" ht="12.75">
      <c r="A78" s="85"/>
      <c r="B78" s="120">
        <f t="shared" si="20"/>
        <v>69</v>
      </c>
      <c r="C78" s="131">
        <f t="shared" si="21"/>
        <v>0</v>
      </c>
      <c r="D78" s="131">
        <f t="shared" si="18"/>
        <v>0</v>
      </c>
      <c r="E78" s="132">
        <f t="shared" si="22"/>
        <v>0</v>
      </c>
      <c r="F78" s="133">
        <f t="shared" si="19"/>
        <v>0</v>
      </c>
      <c r="G78" s="133">
        <f t="shared" si="23"/>
        <v>0</v>
      </c>
      <c r="H78" s="124"/>
      <c r="I78" s="84"/>
      <c r="J78" s="86"/>
      <c r="K78" s="85"/>
      <c r="L78" s="85"/>
      <c r="M78" s="85"/>
      <c r="N78" s="85"/>
      <c r="O78" s="85"/>
      <c r="P78" s="85"/>
    </row>
    <row r="79" spans="1:16" ht="12.75">
      <c r="A79" s="85"/>
      <c r="B79" s="120">
        <f t="shared" si="20"/>
        <v>70</v>
      </c>
      <c r="C79" s="131">
        <f t="shared" si="21"/>
        <v>0</v>
      </c>
      <c r="D79" s="131">
        <f t="shared" si="18"/>
        <v>0</v>
      </c>
      <c r="E79" s="132">
        <f t="shared" si="22"/>
        <v>0</v>
      </c>
      <c r="F79" s="133">
        <f t="shared" si="19"/>
        <v>0</v>
      </c>
      <c r="G79" s="133">
        <f t="shared" si="23"/>
        <v>0</v>
      </c>
      <c r="H79" s="124"/>
      <c r="I79" s="84"/>
      <c r="J79" s="86"/>
      <c r="K79" s="85"/>
      <c r="L79" s="85"/>
      <c r="M79" s="85"/>
      <c r="N79" s="85"/>
      <c r="O79" s="85"/>
      <c r="P79" s="85"/>
    </row>
    <row r="80" spans="1:16" ht="12.75">
      <c r="A80" s="85"/>
      <c r="B80" s="120">
        <f t="shared" si="20"/>
        <v>71</v>
      </c>
      <c r="C80" s="131">
        <f t="shared" si="21"/>
        <v>0</v>
      </c>
      <c r="D80" s="131">
        <f t="shared" si="18"/>
        <v>0</v>
      </c>
      <c r="E80" s="132">
        <f t="shared" si="22"/>
        <v>0</v>
      </c>
      <c r="F80" s="133">
        <f t="shared" si="19"/>
        <v>0</v>
      </c>
      <c r="G80" s="133">
        <f t="shared" si="23"/>
        <v>0</v>
      </c>
      <c r="H80" s="124"/>
      <c r="I80" s="84"/>
      <c r="J80" s="86"/>
      <c r="K80" s="85"/>
      <c r="L80" s="85"/>
      <c r="M80" s="85"/>
      <c r="N80" s="85"/>
      <c r="O80" s="85"/>
      <c r="P80" s="85"/>
    </row>
    <row r="81" spans="1:16" ht="12.75">
      <c r="A81" s="85"/>
      <c r="B81" s="120">
        <f t="shared" si="20"/>
        <v>72</v>
      </c>
      <c r="C81" s="131">
        <f t="shared" si="21"/>
        <v>0</v>
      </c>
      <c r="D81" s="131">
        <f t="shared" si="18"/>
        <v>0</v>
      </c>
      <c r="E81" s="132">
        <f t="shared" si="22"/>
        <v>0</v>
      </c>
      <c r="F81" s="133">
        <f t="shared" si="19"/>
        <v>0</v>
      </c>
      <c r="G81" s="133">
        <f t="shared" si="23"/>
        <v>0</v>
      </c>
      <c r="H81" s="124"/>
      <c r="I81" s="84"/>
      <c r="J81" s="86"/>
      <c r="K81" s="85"/>
      <c r="L81" s="85"/>
      <c r="M81" s="85"/>
      <c r="N81" s="85"/>
      <c r="O81" s="85"/>
      <c r="P81" s="85"/>
    </row>
    <row r="82" spans="1:16" ht="12.75">
      <c r="A82" s="85"/>
      <c r="B82" s="120">
        <f t="shared" si="20"/>
        <v>73</v>
      </c>
      <c r="C82" s="131">
        <f t="shared" si="21"/>
        <v>0</v>
      </c>
      <c r="D82" s="131">
        <f t="shared" si="18"/>
        <v>0</v>
      </c>
      <c r="E82" s="132">
        <f t="shared" si="22"/>
        <v>0</v>
      </c>
      <c r="F82" s="133">
        <f t="shared" si="19"/>
        <v>0</v>
      </c>
      <c r="G82" s="133">
        <f t="shared" si="23"/>
        <v>0</v>
      </c>
      <c r="H82" s="124"/>
      <c r="I82" s="84"/>
      <c r="J82" s="86"/>
      <c r="K82" s="85"/>
      <c r="L82" s="85"/>
      <c r="M82" s="85"/>
      <c r="N82" s="85"/>
      <c r="O82" s="85"/>
      <c r="P82" s="85"/>
    </row>
    <row r="83" spans="1:16" ht="12.75">
      <c r="A83" s="85"/>
      <c r="B83" s="120">
        <f t="shared" si="20"/>
        <v>74</v>
      </c>
      <c r="C83" s="131">
        <f t="shared" si="21"/>
        <v>0</v>
      </c>
      <c r="D83" s="131">
        <f t="shared" si="18"/>
        <v>0</v>
      </c>
      <c r="E83" s="132">
        <f t="shared" si="22"/>
        <v>0</v>
      </c>
      <c r="F83" s="133">
        <f t="shared" si="19"/>
        <v>0</v>
      </c>
      <c r="G83" s="133">
        <f t="shared" si="23"/>
        <v>0</v>
      </c>
      <c r="H83" s="124"/>
      <c r="I83" s="84"/>
      <c r="J83" s="86"/>
      <c r="K83" s="85"/>
      <c r="L83" s="85"/>
      <c r="M83" s="85"/>
      <c r="N83" s="85"/>
      <c r="O83" s="85"/>
      <c r="P83" s="85"/>
    </row>
    <row r="84" spans="1:16" ht="12.75">
      <c r="A84" s="85"/>
      <c r="B84" s="120">
        <f t="shared" si="20"/>
        <v>75</v>
      </c>
      <c r="C84" s="131">
        <f t="shared" si="21"/>
        <v>0</v>
      </c>
      <c r="D84" s="131">
        <f t="shared" si="18"/>
        <v>0</v>
      </c>
      <c r="E84" s="132">
        <f t="shared" si="22"/>
        <v>0</v>
      </c>
      <c r="F84" s="133">
        <f t="shared" si="19"/>
        <v>0</v>
      </c>
      <c r="G84" s="133">
        <f t="shared" si="23"/>
        <v>0</v>
      </c>
      <c r="H84" s="124"/>
      <c r="I84" s="84"/>
      <c r="J84" s="86"/>
      <c r="K84" s="85"/>
      <c r="L84" s="85"/>
      <c r="M84" s="85"/>
      <c r="N84" s="85"/>
      <c r="O84" s="85"/>
      <c r="P84" s="85"/>
    </row>
    <row r="85" spans="1:16" ht="12.75">
      <c r="A85" s="85"/>
      <c r="B85" s="120">
        <f t="shared" si="20"/>
        <v>76</v>
      </c>
      <c r="C85" s="131">
        <f t="shared" si="21"/>
        <v>0</v>
      </c>
      <c r="D85" s="131">
        <f t="shared" si="18"/>
        <v>0</v>
      </c>
      <c r="E85" s="132">
        <f t="shared" si="22"/>
        <v>0</v>
      </c>
      <c r="F85" s="133">
        <f t="shared" si="19"/>
        <v>0</v>
      </c>
      <c r="G85" s="133">
        <f t="shared" si="23"/>
        <v>0</v>
      </c>
      <c r="H85" s="124"/>
      <c r="I85" s="84"/>
      <c r="J85" s="86"/>
      <c r="K85" s="85"/>
      <c r="L85" s="85"/>
      <c r="M85" s="85"/>
      <c r="N85" s="85"/>
      <c r="O85" s="85"/>
      <c r="P85" s="85"/>
    </row>
    <row r="86" spans="1:16" ht="12.75">
      <c r="A86" s="85"/>
      <c r="B86" s="120">
        <f t="shared" si="20"/>
        <v>77</v>
      </c>
      <c r="C86" s="131">
        <f t="shared" si="21"/>
        <v>0</v>
      </c>
      <c r="D86" s="131">
        <f t="shared" si="18"/>
        <v>0</v>
      </c>
      <c r="E86" s="132">
        <f t="shared" si="22"/>
        <v>0</v>
      </c>
      <c r="F86" s="133">
        <f t="shared" si="19"/>
        <v>0</v>
      </c>
      <c r="G86" s="133">
        <f t="shared" si="23"/>
        <v>0</v>
      </c>
      <c r="H86" s="124"/>
      <c r="I86" s="84"/>
      <c r="J86" s="86"/>
      <c r="K86" s="85"/>
      <c r="L86" s="85"/>
      <c r="M86" s="85"/>
      <c r="N86" s="85"/>
      <c r="O86" s="85"/>
      <c r="P86" s="85"/>
    </row>
    <row r="87" spans="1:16" ht="12.75">
      <c r="A87" s="85"/>
      <c r="B87" s="120">
        <f t="shared" si="20"/>
        <v>78</v>
      </c>
      <c r="C87" s="131">
        <f t="shared" si="21"/>
        <v>0</v>
      </c>
      <c r="D87" s="131">
        <f t="shared" si="18"/>
        <v>0</v>
      </c>
      <c r="E87" s="132">
        <f t="shared" si="22"/>
        <v>0</v>
      </c>
      <c r="F87" s="133">
        <f t="shared" si="19"/>
        <v>0</v>
      </c>
      <c r="G87" s="133">
        <f t="shared" si="23"/>
        <v>0</v>
      </c>
      <c r="H87" s="124"/>
      <c r="I87" s="84"/>
      <c r="J87" s="86"/>
      <c r="K87" s="85"/>
      <c r="L87" s="85"/>
      <c r="M87" s="85"/>
      <c r="N87" s="85"/>
      <c r="O87" s="85"/>
      <c r="P87" s="85"/>
    </row>
    <row r="88" spans="1:16" ht="12.75">
      <c r="A88" s="85"/>
      <c r="B88" s="120">
        <f t="shared" si="20"/>
        <v>79</v>
      </c>
      <c r="C88" s="131">
        <f t="shared" si="21"/>
        <v>0</v>
      </c>
      <c r="D88" s="131">
        <f t="shared" si="18"/>
        <v>0</v>
      </c>
      <c r="E88" s="132">
        <f t="shared" si="22"/>
        <v>0</v>
      </c>
      <c r="F88" s="133">
        <f t="shared" si="19"/>
        <v>0</v>
      </c>
      <c r="G88" s="133">
        <f t="shared" si="23"/>
        <v>0</v>
      </c>
      <c r="H88" s="124"/>
      <c r="I88" s="84"/>
      <c r="J88" s="86"/>
      <c r="K88" s="85"/>
      <c r="L88" s="85"/>
      <c r="M88" s="85"/>
      <c r="N88" s="85"/>
      <c r="O88" s="85"/>
      <c r="P88" s="85"/>
    </row>
    <row r="89" spans="1:16" ht="12.75">
      <c r="A89" s="85"/>
      <c r="B89" s="120">
        <f t="shared" si="20"/>
        <v>80</v>
      </c>
      <c r="C89" s="131">
        <f t="shared" si="21"/>
        <v>0</v>
      </c>
      <c r="D89" s="131">
        <f t="shared" si="18"/>
        <v>0</v>
      </c>
      <c r="E89" s="132">
        <f t="shared" si="22"/>
        <v>0</v>
      </c>
      <c r="F89" s="133">
        <f t="shared" si="19"/>
        <v>0</v>
      </c>
      <c r="G89" s="133">
        <f t="shared" si="23"/>
        <v>0</v>
      </c>
      <c r="H89" s="124"/>
      <c r="I89" s="84"/>
      <c r="J89" s="86"/>
      <c r="K89" s="85"/>
      <c r="L89" s="85"/>
      <c r="M89" s="85"/>
      <c r="N89" s="85"/>
      <c r="O89" s="85"/>
      <c r="P89" s="85"/>
    </row>
    <row r="90" spans="1:16" ht="12.75">
      <c r="A90" s="85"/>
      <c r="B90" s="120">
        <f t="shared" si="20"/>
        <v>81</v>
      </c>
      <c r="C90" s="131">
        <f t="shared" si="21"/>
        <v>0</v>
      </c>
      <c r="D90" s="131">
        <f t="shared" si="18"/>
        <v>0</v>
      </c>
      <c r="E90" s="132">
        <f t="shared" si="22"/>
        <v>0</v>
      </c>
      <c r="F90" s="133">
        <f t="shared" si="19"/>
        <v>0</v>
      </c>
      <c r="G90" s="133">
        <f t="shared" si="23"/>
        <v>0</v>
      </c>
      <c r="H90" s="124"/>
      <c r="I90" s="84"/>
      <c r="J90" s="86"/>
      <c r="K90" s="85"/>
      <c r="L90" s="85"/>
      <c r="M90" s="85"/>
      <c r="N90" s="85"/>
      <c r="O90" s="85"/>
      <c r="P90" s="85"/>
    </row>
    <row r="91" spans="1:16" ht="12.75">
      <c r="A91" s="85"/>
      <c r="B91" s="120">
        <f t="shared" si="20"/>
        <v>82</v>
      </c>
      <c r="C91" s="131">
        <f t="shared" si="21"/>
        <v>0</v>
      </c>
      <c r="D91" s="131">
        <f t="shared" si="18"/>
        <v>0</v>
      </c>
      <c r="E91" s="132">
        <f t="shared" si="22"/>
        <v>0</v>
      </c>
      <c r="F91" s="133">
        <f t="shared" si="19"/>
        <v>0</v>
      </c>
      <c r="G91" s="133">
        <f t="shared" si="23"/>
        <v>0</v>
      </c>
      <c r="H91" s="124"/>
      <c r="I91" s="84"/>
      <c r="J91" s="86"/>
      <c r="K91" s="85"/>
      <c r="L91" s="85"/>
      <c r="M91" s="85"/>
      <c r="N91" s="85"/>
      <c r="O91" s="85"/>
      <c r="P91" s="85"/>
    </row>
    <row r="92" spans="1:16" ht="12.75">
      <c r="A92" s="85"/>
      <c r="B92" s="120">
        <f t="shared" si="20"/>
        <v>83</v>
      </c>
      <c r="C92" s="131">
        <f t="shared" si="21"/>
        <v>0</v>
      </c>
      <c r="D92" s="131">
        <f t="shared" si="18"/>
        <v>0</v>
      </c>
      <c r="E92" s="132">
        <f t="shared" si="22"/>
        <v>0</v>
      </c>
      <c r="F92" s="133">
        <f t="shared" si="19"/>
        <v>0</v>
      </c>
      <c r="G92" s="133">
        <f t="shared" si="23"/>
        <v>0</v>
      </c>
      <c r="H92" s="124"/>
      <c r="I92" s="84"/>
      <c r="J92" s="86"/>
      <c r="K92" s="85"/>
      <c r="L92" s="85"/>
      <c r="M92" s="85"/>
      <c r="N92" s="85"/>
      <c r="O92" s="85"/>
      <c r="P92" s="85"/>
    </row>
    <row r="93" spans="1:16" ht="12.75">
      <c r="A93" s="85"/>
      <c r="B93" s="120">
        <f t="shared" si="20"/>
        <v>84</v>
      </c>
      <c r="C93" s="131">
        <f t="shared" si="21"/>
        <v>0</v>
      </c>
      <c r="D93" s="131">
        <f t="shared" si="18"/>
        <v>0</v>
      </c>
      <c r="E93" s="132">
        <f t="shared" si="22"/>
        <v>0</v>
      </c>
      <c r="F93" s="133">
        <f t="shared" si="19"/>
        <v>0</v>
      </c>
      <c r="G93" s="133">
        <f t="shared" si="23"/>
        <v>0</v>
      </c>
      <c r="H93" s="124"/>
      <c r="I93" s="84"/>
      <c r="J93" s="86"/>
      <c r="K93" s="85"/>
      <c r="L93" s="85"/>
      <c r="M93" s="85"/>
      <c r="N93" s="85"/>
      <c r="O93" s="85"/>
      <c r="P93" s="85"/>
    </row>
    <row r="94" spans="1:16" ht="12.75">
      <c r="A94" s="85"/>
      <c r="B94" s="120">
        <f t="shared" si="20"/>
        <v>85</v>
      </c>
      <c r="C94" s="131">
        <f t="shared" si="21"/>
        <v>0</v>
      </c>
      <c r="D94" s="131">
        <f t="shared" si="18"/>
        <v>0</v>
      </c>
      <c r="E94" s="132">
        <f t="shared" si="22"/>
        <v>0</v>
      </c>
      <c r="F94" s="133">
        <f t="shared" si="19"/>
        <v>0</v>
      </c>
      <c r="G94" s="133">
        <f t="shared" si="23"/>
        <v>0</v>
      </c>
      <c r="H94" s="124"/>
      <c r="I94" s="84"/>
      <c r="J94" s="86"/>
      <c r="K94" s="85"/>
      <c r="L94" s="85"/>
      <c r="M94" s="85"/>
      <c r="N94" s="85"/>
      <c r="O94" s="85"/>
      <c r="P94" s="85"/>
    </row>
    <row r="95" spans="1:16" ht="12.75">
      <c r="A95" s="85"/>
      <c r="B95" s="120">
        <f t="shared" si="20"/>
        <v>86</v>
      </c>
      <c r="C95" s="131">
        <f t="shared" si="21"/>
        <v>0</v>
      </c>
      <c r="D95" s="131">
        <f t="shared" si="18"/>
        <v>0</v>
      </c>
      <c r="E95" s="132">
        <f t="shared" si="22"/>
        <v>0</v>
      </c>
      <c r="F95" s="133">
        <f t="shared" si="19"/>
        <v>0</v>
      </c>
      <c r="G95" s="133">
        <f t="shared" si="23"/>
        <v>0</v>
      </c>
      <c r="H95" s="124"/>
      <c r="I95" s="84"/>
      <c r="J95" s="86"/>
      <c r="K95" s="85"/>
      <c r="L95" s="85"/>
      <c r="M95" s="85"/>
      <c r="N95" s="85"/>
      <c r="O95" s="85"/>
      <c r="P95" s="85"/>
    </row>
    <row r="96" spans="1:16" ht="12.75">
      <c r="A96" s="85"/>
      <c r="B96" s="120">
        <f t="shared" si="20"/>
        <v>87</v>
      </c>
      <c r="C96" s="131">
        <f t="shared" si="21"/>
        <v>0</v>
      </c>
      <c r="D96" s="131">
        <f t="shared" si="18"/>
        <v>0</v>
      </c>
      <c r="E96" s="132">
        <f t="shared" si="22"/>
        <v>0</v>
      </c>
      <c r="F96" s="133">
        <f t="shared" si="19"/>
        <v>0</v>
      </c>
      <c r="G96" s="133">
        <f t="shared" si="23"/>
        <v>0</v>
      </c>
      <c r="H96" s="124"/>
      <c r="I96" s="84"/>
      <c r="J96" s="86"/>
      <c r="K96" s="85"/>
      <c r="L96" s="85"/>
      <c r="M96" s="85"/>
      <c r="N96" s="85"/>
      <c r="O96" s="85"/>
      <c r="P96" s="85"/>
    </row>
    <row r="97" spans="1:16" ht="12.75">
      <c r="A97" s="85"/>
      <c r="B97" s="120">
        <f t="shared" si="20"/>
        <v>88</v>
      </c>
      <c r="C97" s="131">
        <f t="shared" si="21"/>
        <v>0</v>
      </c>
      <c r="D97" s="131">
        <f t="shared" si="18"/>
        <v>0</v>
      </c>
      <c r="E97" s="132">
        <f t="shared" si="22"/>
        <v>0</v>
      </c>
      <c r="F97" s="133">
        <f t="shared" si="19"/>
        <v>0</v>
      </c>
      <c r="G97" s="133">
        <f t="shared" si="23"/>
        <v>0</v>
      </c>
      <c r="H97" s="124"/>
      <c r="I97" s="84"/>
      <c r="J97" s="86"/>
      <c r="K97" s="85"/>
      <c r="L97" s="85"/>
      <c r="M97" s="85"/>
      <c r="N97" s="85"/>
      <c r="O97" s="85"/>
      <c r="P97" s="85"/>
    </row>
    <row r="98" spans="1:16" ht="12.75">
      <c r="A98" s="85"/>
      <c r="B98" s="120">
        <f t="shared" si="20"/>
        <v>89</v>
      </c>
      <c r="C98" s="131">
        <f t="shared" si="21"/>
        <v>0</v>
      </c>
      <c r="D98" s="131">
        <f t="shared" si="18"/>
        <v>0</v>
      </c>
      <c r="E98" s="132">
        <f t="shared" si="22"/>
        <v>0</v>
      </c>
      <c r="F98" s="133">
        <f t="shared" si="19"/>
        <v>0</v>
      </c>
      <c r="G98" s="133">
        <f t="shared" si="23"/>
        <v>0</v>
      </c>
      <c r="H98" s="124"/>
      <c r="I98" s="84"/>
      <c r="J98" s="86"/>
      <c r="K98" s="85"/>
      <c r="L98" s="85"/>
      <c r="M98" s="85"/>
      <c r="N98" s="85"/>
      <c r="O98" s="85"/>
      <c r="P98" s="85"/>
    </row>
    <row r="99" spans="1:16" ht="12.75">
      <c r="A99" s="85"/>
      <c r="B99" s="120">
        <f t="shared" si="20"/>
        <v>90</v>
      </c>
      <c r="C99" s="131">
        <f t="shared" si="21"/>
        <v>0</v>
      </c>
      <c r="D99" s="131">
        <f t="shared" si="18"/>
        <v>0</v>
      </c>
      <c r="E99" s="132">
        <f t="shared" si="22"/>
        <v>0</v>
      </c>
      <c r="F99" s="133">
        <f t="shared" si="19"/>
        <v>0</v>
      </c>
      <c r="G99" s="133">
        <f t="shared" si="23"/>
        <v>0</v>
      </c>
      <c r="H99" s="124"/>
      <c r="I99" s="84"/>
      <c r="J99" s="86"/>
      <c r="K99" s="85"/>
      <c r="L99" s="85"/>
      <c r="M99" s="85"/>
      <c r="N99" s="85"/>
      <c r="O99" s="85"/>
      <c r="P99" s="85"/>
    </row>
    <row r="100" spans="1:16" ht="12.75">
      <c r="A100" s="85"/>
      <c r="B100" s="120">
        <f t="shared" si="20"/>
        <v>91</v>
      </c>
      <c r="C100" s="131">
        <f t="shared" si="21"/>
        <v>0</v>
      </c>
      <c r="D100" s="131">
        <f t="shared" si="18"/>
        <v>0</v>
      </c>
      <c r="E100" s="132">
        <f t="shared" si="22"/>
        <v>0</v>
      </c>
      <c r="F100" s="133">
        <f t="shared" si="19"/>
        <v>0</v>
      </c>
      <c r="G100" s="133">
        <f t="shared" si="23"/>
        <v>0</v>
      </c>
      <c r="H100" s="124"/>
      <c r="I100" s="84"/>
      <c r="J100" s="86"/>
      <c r="K100" s="85"/>
      <c r="L100" s="85"/>
      <c r="M100" s="85"/>
      <c r="N100" s="85"/>
      <c r="O100" s="85"/>
      <c r="P100" s="85"/>
    </row>
    <row r="101" spans="1:16" ht="12.75">
      <c r="A101" s="85"/>
      <c r="B101" s="120">
        <f t="shared" si="20"/>
        <v>92</v>
      </c>
      <c r="C101" s="131">
        <f t="shared" si="21"/>
        <v>0</v>
      </c>
      <c r="D101" s="131">
        <f t="shared" si="18"/>
        <v>0</v>
      </c>
      <c r="E101" s="132">
        <f t="shared" si="22"/>
        <v>0</v>
      </c>
      <c r="F101" s="133">
        <f t="shared" si="19"/>
        <v>0</v>
      </c>
      <c r="G101" s="133">
        <f t="shared" si="23"/>
        <v>0</v>
      </c>
      <c r="H101" s="124"/>
      <c r="I101" s="84"/>
      <c r="J101" s="86"/>
      <c r="K101" s="85"/>
      <c r="L101" s="85"/>
      <c r="M101" s="85"/>
      <c r="N101" s="85"/>
      <c r="O101" s="85"/>
      <c r="P101" s="85"/>
    </row>
    <row r="102" spans="1:16" ht="12.75">
      <c r="A102" s="85"/>
      <c r="B102" s="120">
        <f t="shared" si="20"/>
        <v>93</v>
      </c>
      <c r="C102" s="131">
        <f t="shared" si="21"/>
        <v>0</v>
      </c>
      <c r="D102" s="131">
        <f t="shared" si="18"/>
        <v>0</v>
      </c>
      <c r="E102" s="132">
        <f t="shared" si="22"/>
        <v>0</v>
      </c>
      <c r="F102" s="133">
        <f t="shared" si="19"/>
        <v>0</v>
      </c>
      <c r="G102" s="133">
        <f t="shared" si="23"/>
        <v>0</v>
      </c>
      <c r="H102" s="124"/>
      <c r="I102" s="84"/>
      <c r="J102" s="86"/>
      <c r="K102" s="85"/>
      <c r="L102" s="85"/>
      <c r="M102" s="85"/>
      <c r="N102" s="85"/>
      <c r="O102" s="85"/>
      <c r="P102" s="85"/>
    </row>
    <row r="103" spans="1:16" ht="12.75">
      <c r="A103" s="85"/>
      <c r="B103" s="120">
        <f t="shared" si="20"/>
        <v>94</v>
      </c>
      <c r="C103" s="131">
        <f t="shared" si="21"/>
        <v>0</v>
      </c>
      <c r="D103" s="131">
        <f t="shared" si="18"/>
        <v>0</v>
      </c>
      <c r="E103" s="132">
        <f t="shared" si="22"/>
        <v>0</v>
      </c>
      <c r="F103" s="133">
        <f t="shared" si="19"/>
        <v>0</v>
      </c>
      <c r="G103" s="133">
        <f t="shared" si="23"/>
        <v>0</v>
      </c>
      <c r="H103" s="124"/>
      <c r="I103" s="84"/>
      <c r="J103" s="86"/>
      <c r="K103" s="85"/>
      <c r="L103" s="85"/>
      <c r="M103" s="85"/>
      <c r="N103" s="85"/>
      <c r="O103" s="85"/>
      <c r="P103" s="85"/>
    </row>
    <row r="104" spans="1:16" ht="12.75">
      <c r="A104" s="85"/>
      <c r="B104" s="120">
        <f t="shared" si="20"/>
        <v>95</v>
      </c>
      <c r="C104" s="131">
        <f t="shared" si="21"/>
        <v>0</v>
      </c>
      <c r="D104" s="131">
        <f t="shared" si="18"/>
        <v>0</v>
      </c>
      <c r="E104" s="132">
        <f t="shared" si="22"/>
        <v>0</v>
      </c>
      <c r="F104" s="133">
        <f t="shared" si="19"/>
        <v>0</v>
      </c>
      <c r="G104" s="133">
        <f t="shared" si="23"/>
        <v>0</v>
      </c>
      <c r="H104" s="124"/>
      <c r="I104" s="84"/>
      <c r="J104" s="86"/>
      <c r="K104" s="85"/>
      <c r="L104" s="85"/>
      <c r="M104" s="85"/>
      <c r="N104" s="85"/>
      <c r="O104" s="85"/>
      <c r="P104" s="85"/>
    </row>
    <row r="105" spans="1:16" ht="12.75">
      <c r="A105" s="85"/>
      <c r="B105" s="120">
        <f t="shared" si="20"/>
        <v>96</v>
      </c>
      <c r="C105" s="131">
        <f t="shared" si="21"/>
        <v>0</v>
      </c>
      <c r="D105" s="131">
        <f t="shared" si="18"/>
        <v>0</v>
      </c>
      <c r="E105" s="132">
        <f t="shared" si="22"/>
        <v>0</v>
      </c>
      <c r="F105" s="133">
        <f t="shared" si="19"/>
        <v>0</v>
      </c>
      <c r="G105" s="133">
        <f t="shared" si="23"/>
        <v>0</v>
      </c>
      <c r="H105" s="124"/>
      <c r="I105" s="84"/>
      <c r="J105" s="86"/>
      <c r="K105" s="85"/>
      <c r="L105" s="85"/>
      <c r="M105" s="85"/>
      <c r="N105" s="85"/>
      <c r="O105" s="85"/>
      <c r="P105" s="85"/>
    </row>
    <row r="106" spans="1:16" ht="12.75">
      <c r="A106" s="85"/>
      <c r="B106" s="120">
        <f t="shared" si="20"/>
        <v>97</v>
      </c>
      <c r="C106" s="131">
        <f t="shared" si="21"/>
        <v>0</v>
      </c>
      <c r="D106" s="131">
        <f t="shared" si="18"/>
        <v>0</v>
      </c>
      <c r="E106" s="132">
        <f t="shared" si="22"/>
        <v>0</v>
      </c>
      <c r="F106" s="133">
        <f t="shared" si="19"/>
        <v>0</v>
      </c>
      <c r="G106" s="133">
        <f t="shared" si="23"/>
        <v>0</v>
      </c>
      <c r="H106" s="124"/>
      <c r="I106" s="84"/>
      <c r="J106" s="86"/>
      <c r="K106" s="85"/>
      <c r="L106" s="85"/>
      <c r="M106" s="85"/>
      <c r="N106" s="85"/>
      <c r="O106" s="85"/>
      <c r="P106" s="85"/>
    </row>
    <row r="107" spans="1:16" ht="12.75">
      <c r="A107" s="85"/>
      <c r="B107" s="120">
        <f t="shared" si="20"/>
        <v>98</v>
      </c>
      <c r="C107" s="131">
        <f t="shared" si="21"/>
        <v>0</v>
      </c>
      <c r="D107" s="131">
        <f t="shared" si="18"/>
        <v>0</v>
      </c>
      <c r="E107" s="132">
        <f t="shared" si="22"/>
        <v>0</v>
      </c>
      <c r="F107" s="133">
        <f t="shared" si="19"/>
        <v>0</v>
      </c>
      <c r="G107" s="133">
        <f aca="true" t="shared" si="24" ref="G107:G132">G106+D107</f>
        <v>0</v>
      </c>
      <c r="H107" s="124"/>
      <c r="I107" s="84"/>
      <c r="J107" s="86"/>
      <c r="K107" s="85"/>
      <c r="L107" s="85"/>
      <c r="M107" s="85"/>
      <c r="N107" s="85"/>
      <c r="O107" s="85"/>
      <c r="P107" s="85"/>
    </row>
    <row r="108" spans="1:16" ht="12.75">
      <c r="A108" s="85"/>
      <c r="B108" s="120">
        <f t="shared" si="20"/>
        <v>99</v>
      </c>
      <c r="C108" s="131">
        <f t="shared" si="21"/>
        <v>0</v>
      </c>
      <c r="D108" s="131">
        <f t="shared" si="18"/>
        <v>0</v>
      </c>
      <c r="E108" s="132">
        <f t="shared" si="22"/>
        <v>0</v>
      </c>
      <c r="F108" s="133">
        <f t="shared" si="19"/>
        <v>0</v>
      </c>
      <c r="G108" s="133">
        <f t="shared" si="24"/>
        <v>0</v>
      </c>
      <c r="H108" s="124"/>
      <c r="I108" s="84"/>
      <c r="J108" s="86"/>
      <c r="K108" s="85"/>
      <c r="L108" s="85"/>
      <c r="M108" s="85"/>
      <c r="N108" s="85"/>
      <c r="O108" s="85"/>
      <c r="P108" s="85"/>
    </row>
    <row r="109" spans="1:16" ht="12.75">
      <c r="A109" s="85"/>
      <c r="B109" s="120">
        <f t="shared" si="20"/>
        <v>100</v>
      </c>
      <c r="C109" s="131">
        <f t="shared" si="21"/>
        <v>0</v>
      </c>
      <c r="D109" s="131">
        <f t="shared" si="18"/>
        <v>0</v>
      </c>
      <c r="E109" s="132">
        <f t="shared" si="22"/>
        <v>0</v>
      </c>
      <c r="F109" s="133">
        <f t="shared" si="19"/>
        <v>0</v>
      </c>
      <c r="G109" s="133">
        <f t="shared" si="24"/>
        <v>0</v>
      </c>
      <c r="H109" s="124"/>
      <c r="I109" s="84"/>
      <c r="J109" s="86"/>
      <c r="K109" s="85"/>
      <c r="L109" s="85"/>
      <c r="M109" s="85"/>
      <c r="N109" s="85"/>
      <c r="O109" s="85"/>
      <c r="P109" s="85"/>
    </row>
    <row r="110" spans="1:16" ht="12.75">
      <c r="A110" s="85"/>
      <c r="B110" s="120">
        <f t="shared" si="20"/>
        <v>101</v>
      </c>
      <c r="C110" s="131">
        <f t="shared" si="21"/>
        <v>0</v>
      </c>
      <c r="D110" s="131">
        <f t="shared" si="18"/>
        <v>0</v>
      </c>
      <c r="E110" s="132">
        <f t="shared" si="22"/>
        <v>0</v>
      </c>
      <c r="F110" s="133">
        <f t="shared" si="19"/>
        <v>0</v>
      </c>
      <c r="G110" s="133">
        <f t="shared" si="24"/>
        <v>0</v>
      </c>
      <c r="H110" s="124"/>
      <c r="I110" s="84"/>
      <c r="J110" s="86"/>
      <c r="K110" s="85"/>
      <c r="L110" s="85"/>
      <c r="M110" s="85"/>
      <c r="N110" s="85"/>
      <c r="O110" s="85"/>
      <c r="P110" s="85"/>
    </row>
    <row r="111" spans="1:16" ht="12.75">
      <c r="A111" s="85"/>
      <c r="B111" s="120">
        <f t="shared" si="20"/>
        <v>102</v>
      </c>
      <c r="C111" s="131">
        <f t="shared" si="21"/>
        <v>0</v>
      </c>
      <c r="D111" s="131">
        <f t="shared" si="18"/>
        <v>0</v>
      </c>
      <c r="E111" s="132">
        <f t="shared" si="22"/>
        <v>0</v>
      </c>
      <c r="F111" s="133">
        <f t="shared" si="19"/>
        <v>0</v>
      </c>
      <c r="G111" s="133">
        <f t="shared" si="24"/>
        <v>0</v>
      </c>
      <c r="H111" s="124"/>
      <c r="I111" s="84"/>
      <c r="J111" s="86"/>
      <c r="K111" s="85"/>
      <c r="L111" s="85"/>
      <c r="M111" s="85"/>
      <c r="N111" s="85"/>
      <c r="O111" s="85"/>
      <c r="P111" s="85"/>
    </row>
    <row r="112" spans="1:16" ht="12.75">
      <c r="A112" s="85"/>
      <c r="B112" s="120">
        <f t="shared" si="20"/>
        <v>103</v>
      </c>
      <c r="C112" s="131">
        <f t="shared" si="21"/>
        <v>0</v>
      </c>
      <c r="D112" s="131">
        <f t="shared" si="18"/>
        <v>0</v>
      </c>
      <c r="E112" s="132">
        <f t="shared" si="22"/>
        <v>0</v>
      </c>
      <c r="F112" s="133">
        <f t="shared" si="19"/>
        <v>0</v>
      </c>
      <c r="G112" s="133">
        <f t="shared" si="24"/>
        <v>0</v>
      </c>
      <c r="H112" s="124"/>
      <c r="I112" s="84"/>
      <c r="J112" s="86"/>
      <c r="K112" s="85"/>
      <c r="L112" s="85"/>
      <c r="M112" s="85"/>
      <c r="N112" s="85"/>
      <c r="O112" s="85"/>
      <c r="P112" s="85"/>
    </row>
    <row r="113" spans="1:16" ht="12.75">
      <c r="A113" s="85"/>
      <c r="B113" s="120">
        <f t="shared" si="20"/>
        <v>104</v>
      </c>
      <c r="C113" s="131">
        <f t="shared" si="21"/>
        <v>0</v>
      </c>
      <c r="D113" s="131">
        <f t="shared" si="18"/>
        <v>0</v>
      </c>
      <c r="E113" s="132">
        <f t="shared" si="22"/>
        <v>0</v>
      </c>
      <c r="F113" s="133">
        <f t="shared" si="19"/>
        <v>0</v>
      </c>
      <c r="G113" s="133">
        <f t="shared" si="24"/>
        <v>0</v>
      </c>
      <c r="H113" s="124"/>
      <c r="I113" s="84"/>
      <c r="J113" s="86"/>
      <c r="K113" s="85"/>
      <c r="L113" s="85"/>
      <c r="M113" s="85"/>
      <c r="N113" s="85"/>
      <c r="O113" s="85"/>
      <c r="P113" s="85"/>
    </row>
    <row r="114" spans="1:16" ht="12.75">
      <c r="A114" s="85"/>
      <c r="B114" s="120">
        <f t="shared" si="20"/>
        <v>105</v>
      </c>
      <c r="C114" s="131">
        <f t="shared" si="21"/>
        <v>0</v>
      </c>
      <c r="D114" s="131">
        <f t="shared" si="18"/>
        <v>0</v>
      </c>
      <c r="E114" s="132">
        <f t="shared" si="22"/>
        <v>0</v>
      </c>
      <c r="F114" s="133">
        <f t="shared" si="19"/>
        <v>0</v>
      </c>
      <c r="G114" s="133">
        <f t="shared" si="24"/>
        <v>0</v>
      </c>
      <c r="H114" s="124"/>
      <c r="I114" s="84"/>
      <c r="J114" s="86"/>
      <c r="K114" s="85"/>
      <c r="L114" s="85"/>
      <c r="M114" s="85"/>
      <c r="N114" s="85"/>
      <c r="O114" s="85"/>
      <c r="P114" s="85"/>
    </row>
    <row r="115" spans="1:16" ht="12.75">
      <c r="A115" s="85"/>
      <c r="B115" s="120">
        <f t="shared" si="20"/>
        <v>106</v>
      </c>
      <c r="C115" s="131">
        <f t="shared" si="21"/>
        <v>0</v>
      </c>
      <c r="D115" s="131">
        <f t="shared" si="18"/>
        <v>0</v>
      </c>
      <c r="E115" s="132">
        <f t="shared" si="22"/>
        <v>0</v>
      </c>
      <c r="F115" s="133">
        <f t="shared" si="19"/>
        <v>0</v>
      </c>
      <c r="G115" s="133">
        <f t="shared" si="24"/>
        <v>0</v>
      </c>
      <c r="H115" s="124"/>
      <c r="I115" s="84"/>
      <c r="J115" s="86"/>
      <c r="K115" s="85"/>
      <c r="L115" s="85"/>
      <c r="M115" s="85"/>
      <c r="N115" s="85"/>
      <c r="O115" s="85"/>
      <c r="P115" s="85"/>
    </row>
    <row r="116" spans="1:16" ht="12.75">
      <c r="A116" s="85"/>
      <c r="B116" s="120">
        <f t="shared" si="20"/>
        <v>107</v>
      </c>
      <c r="C116" s="131">
        <f t="shared" si="21"/>
        <v>0</v>
      </c>
      <c r="D116" s="131">
        <f t="shared" si="18"/>
        <v>0</v>
      </c>
      <c r="E116" s="132">
        <f t="shared" si="22"/>
        <v>0</v>
      </c>
      <c r="F116" s="133">
        <f t="shared" si="19"/>
        <v>0</v>
      </c>
      <c r="G116" s="133">
        <f t="shared" si="24"/>
        <v>0</v>
      </c>
      <c r="H116" s="124"/>
      <c r="I116" s="84"/>
      <c r="J116" s="86"/>
      <c r="K116" s="85"/>
      <c r="L116" s="85"/>
      <c r="M116" s="85"/>
      <c r="N116" s="85"/>
      <c r="O116" s="85"/>
      <c r="P116" s="85"/>
    </row>
    <row r="117" spans="1:16" ht="12.75">
      <c r="A117" s="85"/>
      <c r="B117" s="120">
        <f t="shared" si="20"/>
        <v>108</v>
      </c>
      <c r="C117" s="131">
        <f t="shared" si="21"/>
        <v>0</v>
      </c>
      <c r="D117" s="131">
        <f t="shared" si="18"/>
        <v>0</v>
      </c>
      <c r="E117" s="132">
        <f t="shared" si="22"/>
        <v>0</v>
      </c>
      <c r="F117" s="133">
        <f t="shared" si="19"/>
        <v>0</v>
      </c>
      <c r="G117" s="133">
        <f t="shared" si="24"/>
        <v>0</v>
      </c>
      <c r="H117" s="124"/>
      <c r="I117" s="84"/>
      <c r="J117" s="86"/>
      <c r="K117" s="85"/>
      <c r="L117" s="85"/>
      <c r="M117" s="85"/>
      <c r="N117" s="85"/>
      <c r="O117" s="85"/>
      <c r="P117" s="85"/>
    </row>
    <row r="118" spans="1:16" ht="12.75">
      <c r="A118" s="85"/>
      <c r="B118" s="120">
        <f t="shared" si="20"/>
        <v>109</v>
      </c>
      <c r="C118" s="131">
        <f t="shared" si="21"/>
        <v>0</v>
      </c>
      <c r="D118" s="131">
        <f t="shared" si="18"/>
        <v>0</v>
      </c>
      <c r="E118" s="132">
        <f t="shared" si="22"/>
        <v>0</v>
      </c>
      <c r="F118" s="133">
        <f t="shared" si="19"/>
        <v>0</v>
      </c>
      <c r="G118" s="133">
        <f t="shared" si="24"/>
        <v>0</v>
      </c>
      <c r="H118" s="124"/>
      <c r="I118" s="84"/>
      <c r="J118" s="86"/>
      <c r="K118" s="85"/>
      <c r="L118" s="85"/>
      <c r="M118" s="85"/>
      <c r="N118" s="85"/>
      <c r="O118" s="85"/>
      <c r="P118" s="85"/>
    </row>
    <row r="119" spans="1:16" ht="12.75">
      <c r="A119" s="85"/>
      <c r="B119" s="120">
        <f t="shared" si="20"/>
        <v>110</v>
      </c>
      <c r="C119" s="131">
        <f t="shared" si="21"/>
        <v>0</v>
      </c>
      <c r="D119" s="131">
        <f t="shared" si="18"/>
        <v>0</v>
      </c>
      <c r="E119" s="132">
        <f t="shared" si="22"/>
        <v>0</v>
      </c>
      <c r="F119" s="133">
        <f t="shared" si="19"/>
        <v>0</v>
      </c>
      <c r="G119" s="133">
        <f t="shared" si="24"/>
        <v>0</v>
      </c>
      <c r="H119" s="124"/>
      <c r="I119" s="84"/>
      <c r="J119" s="86"/>
      <c r="K119" s="85"/>
      <c r="L119" s="85"/>
      <c r="M119" s="85"/>
      <c r="N119" s="85"/>
      <c r="O119" s="85"/>
      <c r="P119" s="85"/>
    </row>
    <row r="120" spans="1:16" ht="12.75">
      <c r="A120" s="85"/>
      <c r="B120" s="120">
        <f t="shared" si="20"/>
        <v>111</v>
      </c>
      <c r="C120" s="131">
        <f t="shared" si="21"/>
        <v>0</v>
      </c>
      <c r="D120" s="131">
        <f t="shared" si="18"/>
        <v>0</v>
      </c>
      <c r="E120" s="132">
        <f t="shared" si="22"/>
        <v>0</v>
      </c>
      <c r="F120" s="133">
        <f t="shared" si="19"/>
        <v>0</v>
      </c>
      <c r="G120" s="133">
        <f t="shared" si="24"/>
        <v>0</v>
      </c>
      <c r="H120" s="124"/>
      <c r="I120" s="84"/>
      <c r="J120" s="86"/>
      <c r="K120" s="85"/>
      <c r="L120" s="85"/>
      <c r="M120" s="85"/>
      <c r="N120" s="85"/>
      <c r="O120" s="85"/>
      <c r="P120" s="85"/>
    </row>
    <row r="121" spans="1:16" ht="12.75">
      <c r="A121" s="85"/>
      <c r="B121" s="120">
        <f t="shared" si="20"/>
        <v>112</v>
      </c>
      <c r="C121" s="131">
        <f t="shared" si="21"/>
        <v>0</v>
      </c>
      <c r="D121" s="131">
        <f t="shared" si="18"/>
        <v>0</v>
      </c>
      <c r="E121" s="132">
        <f t="shared" si="22"/>
        <v>0</v>
      </c>
      <c r="F121" s="133">
        <f t="shared" si="19"/>
        <v>0</v>
      </c>
      <c r="G121" s="133">
        <f t="shared" si="24"/>
        <v>0</v>
      </c>
      <c r="H121" s="124"/>
      <c r="I121" s="84"/>
      <c r="J121" s="86"/>
      <c r="K121" s="85"/>
      <c r="L121" s="85"/>
      <c r="M121" s="85"/>
      <c r="N121" s="85"/>
      <c r="O121" s="85"/>
      <c r="P121" s="85"/>
    </row>
    <row r="122" spans="1:16" ht="12.75">
      <c r="A122" s="85"/>
      <c r="B122" s="120">
        <f t="shared" si="20"/>
        <v>113</v>
      </c>
      <c r="C122" s="131">
        <f t="shared" si="21"/>
        <v>0</v>
      </c>
      <c r="D122" s="131">
        <f t="shared" si="18"/>
        <v>0</v>
      </c>
      <c r="E122" s="132">
        <f t="shared" si="22"/>
        <v>0</v>
      </c>
      <c r="F122" s="133">
        <f t="shared" si="19"/>
        <v>0</v>
      </c>
      <c r="G122" s="133">
        <f t="shared" si="24"/>
        <v>0</v>
      </c>
      <c r="H122" s="124"/>
      <c r="I122" s="84"/>
      <c r="J122" s="86"/>
      <c r="K122" s="85"/>
      <c r="L122" s="85"/>
      <c r="M122" s="85"/>
      <c r="N122" s="85"/>
      <c r="O122" s="85"/>
      <c r="P122" s="85"/>
    </row>
    <row r="123" spans="1:16" ht="12.75">
      <c r="A123" s="85"/>
      <c r="B123" s="120">
        <f t="shared" si="20"/>
        <v>114</v>
      </c>
      <c r="C123" s="131">
        <f t="shared" si="21"/>
        <v>0</v>
      </c>
      <c r="D123" s="131">
        <f t="shared" si="18"/>
        <v>0</v>
      </c>
      <c r="E123" s="132">
        <f t="shared" si="22"/>
        <v>0</v>
      </c>
      <c r="F123" s="133">
        <f t="shared" si="19"/>
        <v>0</v>
      </c>
      <c r="G123" s="133">
        <f t="shared" si="24"/>
        <v>0</v>
      </c>
      <c r="H123" s="124"/>
      <c r="I123" s="84"/>
      <c r="J123" s="86"/>
      <c r="K123" s="85"/>
      <c r="L123" s="85"/>
      <c r="M123" s="85"/>
      <c r="N123" s="85"/>
      <c r="O123" s="85"/>
      <c r="P123" s="85"/>
    </row>
    <row r="124" spans="1:16" ht="12.75">
      <c r="A124" s="85"/>
      <c r="B124" s="120">
        <f t="shared" si="20"/>
        <v>115</v>
      </c>
      <c r="C124" s="131">
        <f t="shared" si="21"/>
        <v>0</v>
      </c>
      <c r="D124" s="131">
        <f t="shared" si="18"/>
        <v>0</v>
      </c>
      <c r="E124" s="132">
        <f t="shared" si="22"/>
        <v>0</v>
      </c>
      <c r="F124" s="133">
        <f t="shared" si="19"/>
        <v>0</v>
      </c>
      <c r="G124" s="133">
        <f t="shared" si="24"/>
        <v>0</v>
      </c>
      <c r="H124" s="124"/>
      <c r="I124" s="84"/>
      <c r="J124" s="86"/>
      <c r="K124" s="85"/>
      <c r="L124" s="85"/>
      <c r="M124" s="85"/>
      <c r="N124" s="85"/>
      <c r="O124" s="85"/>
      <c r="P124" s="85"/>
    </row>
    <row r="125" spans="1:16" ht="12.75">
      <c r="A125" s="85"/>
      <c r="B125" s="120">
        <f t="shared" si="20"/>
        <v>116</v>
      </c>
      <c r="C125" s="131">
        <f t="shared" si="21"/>
        <v>0</v>
      </c>
      <c r="D125" s="131">
        <f t="shared" si="18"/>
        <v>0</v>
      </c>
      <c r="E125" s="132">
        <f t="shared" si="22"/>
        <v>0</v>
      </c>
      <c r="F125" s="133">
        <f t="shared" si="19"/>
        <v>0</v>
      </c>
      <c r="G125" s="133">
        <f t="shared" si="24"/>
        <v>0</v>
      </c>
      <c r="H125" s="124"/>
      <c r="I125" s="84"/>
      <c r="J125" s="86"/>
      <c r="K125" s="85"/>
      <c r="L125" s="85"/>
      <c r="M125" s="85"/>
      <c r="N125" s="85"/>
      <c r="O125" s="85"/>
      <c r="P125" s="85"/>
    </row>
    <row r="126" spans="1:16" ht="12.75">
      <c r="A126" s="85"/>
      <c r="B126" s="120">
        <f t="shared" si="20"/>
        <v>117</v>
      </c>
      <c r="C126" s="131">
        <f t="shared" si="21"/>
        <v>0</v>
      </c>
      <c r="D126" s="131">
        <f t="shared" si="18"/>
        <v>0</v>
      </c>
      <c r="E126" s="132">
        <f t="shared" si="22"/>
        <v>0</v>
      </c>
      <c r="F126" s="133">
        <f t="shared" si="19"/>
        <v>0</v>
      </c>
      <c r="G126" s="133">
        <f t="shared" si="24"/>
        <v>0</v>
      </c>
      <c r="H126" s="124"/>
      <c r="I126" s="84"/>
      <c r="J126" s="86"/>
      <c r="K126" s="85"/>
      <c r="L126" s="85"/>
      <c r="M126" s="85"/>
      <c r="N126" s="85"/>
      <c r="O126" s="85"/>
      <c r="P126" s="85"/>
    </row>
    <row r="127" spans="1:16" ht="12.75">
      <c r="A127" s="85"/>
      <c r="B127" s="120">
        <f t="shared" si="20"/>
        <v>118</v>
      </c>
      <c r="C127" s="131">
        <f t="shared" si="21"/>
        <v>0</v>
      </c>
      <c r="D127" s="131">
        <f t="shared" si="18"/>
        <v>0</v>
      </c>
      <c r="E127" s="132">
        <f t="shared" si="22"/>
        <v>0</v>
      </c>
      <c r="F127" s="133">
        <f t="shared" si="19"/>
        <v>0</v>
      </c>
      <c r="G127" s="133">
        <f t="shared" si="24"/>
        <v>0</v>
      </c>
      <c r="H127" s="124"/>
      <c r="I127" s="84"/>
      <c r="J127" s="86"/>
      <c r="K127" s="85"/>
      <c r="L127" s="85"/>
      <c r="M127" s="85"/>
      <c r="N127" s="85"/>
      <c r="O127" s="85"/>
      <c r="P127" s="85"/>
    </row>
    <row r="128" spans="1:16" ht="12.75">
      <c r="A128" s="85"/>
      <c r="B128" s="120">
        <f t="shared" si="20"/>
        <v>119</v>
      </c>
      <c r="C128" s="131">
        <f t="shared" si="21"/>
        <v>0</v>
      </c>
      <c r="D128" s="131">
        <f t="shared" si="18"/>
        <v>0</v>
      </c>
      <c r="E128" s="132">
        <f t="shared" si="22"/>
        <v>0</v>
      </c>
      <c r="F128" s="133">
        <f t="shared" si="19"/>
        <v>0</v>
      </c>
      <c r="G128" s="133">
        <f t="shared" si="24"/>
        <v>0</v>
      </c>
      <c r="H128" s="124"/>
      <c r="I128" s="84"/>
      <c r="J128" s="86"/>
      <c r="K128" s="85"/>
      <c r="L128" s="85"/>
      <c r="M128" s="85"/>
      <c r="N128" s="85"/>
      <c r="O128" s="85"/>
      <c r="P128" s="85"/>
    </row>
    <row r="129" spans="1:16" ht="12.75">
      <c r="A129" s="85"/>
      <c r="B129" s="120">
        <f t="shared" si="20"/>
        <v>120</v>
      </c>
      <c r="C129" s="131">
        <f t="shared" si="21"/>
        <v>0</v>
      </c>
      <c r="D129" s="131">
        <f t="shared" si="18"/>
        <v>0</v>
      </c>
      <c r="E129" s="132">
        <f t="shared" si="22"/>
        <v>0</v>
      </c>
      <c r="F129" s="133">
        <f t="shared" si="19"/>
        <v>0</v>
      </c>
      <c r="G129" s="133">
        <f t="shared" si="24"/>
        <v>0</v>
      </c>
      <c r="H129" s="124"/>
      <c r="I129" s="84"/>
      <c r="J129" s="86"/>
      <c r="K129" s="85"/>
      <c r="L129" s="85"/>
      <c r="M129" s="85"/>
      <c r="N129" s="85"/>
      <c r="O129" s="85"/>
      <c r="P129" s="85"/>
    </row>
    <row r="130" spans="1:16" ht="12.75">
      <c r="A130" s="85"/>
      <c r="B130" s="120">
        <f t="shared" si="20"/>
        <v>121</v>
      </c>
      <c r="C130" s="131">
        <f t="shared" si="21"/>
        <v>0</v>
      </c>
      <c r="D130" s="131">
        <f t="shared" si="18"/>
        <v>0</v>
      </c>
      <c r="E130" s="132">
        <f t="shared" si="22"/>
        <v>0</v>
      </c>
      <c r="F130" s="133">
        <f t="shared" si="19"/>
        <v>0</v>
      </c>
      <c r="G130" s="133">
        <f t="shared" si="24"/>
        <v>0</v>
      </c>
      <c r="H130" s="124"/>
      <c r="I130" s="84"/>
      <c r="J130" s="86"/>
      <c r="K130" s="85"/>
      <c r="L130" s="85"/>
      <c r="M130" s="85"/>
      <c r="N130" s="85"/>
      <c r="O130" s="85"/>
      <c r="P130" s="85"/>
    </row>
    <row r="131" spans="1:16" ht="12.75">
      <c r="A131" s="85"/>
      <c r="B131" s="120">
        <f t="shared" si="20"/>
        <v>122</v>
      </c>
      <c r="C131" s="131">
        <f t="shared" si="21"/>
        <v>0</v>
      </c>
      <c r="D131" s="131">
        <f t="shared" si="18"/>
        <v>0</v>
      </c>
      <c r="E131" s="132">
        <f t="shared" si="22"/>
        <v>0</v>
      </c>
      <c r="F131" s="133">
        <f t="shared" si="19"/>
        <v>0</v>
      </c>
      <c r="G131" s="133">
        <f t="shared" si="24"/>
        <v>0</v>
      </c>
      <c r="H131" s="124"/>
      <c r="I131" s="84"/>
      <c r="J131" s="86"/>
      <c r="K131" s="85"/>
      <c r="L131" s="85"/>
      <c r="M131" s="85"/>
      <c r="N131" s="85"/>
      <c r="O131" s="85"/>
      <c r="P131" s="85"/>
    </row>
    <row r="132" spans="1:16" ht="12.75">
      <c r="A132" s="85"/>
      <c r="B132" s="120">
        <f t="shared" si="20"/>
        <v>123</v>
      </c>
      <c r="C132" s="131">
        <f t="shared" si="21"/>
        <v>0</v>
      </c>
      <c r="D132" s="131">
        <f t="shared" si="18"/>
        <v>0</v>
      </c>
      <c r="E132" s="132">
        <f t="shared" si="22"/>
        <v>0</v>
      </c>
      <c r="F132" s="133">
        <f t="shared" si="19"/>
        <v>0</v>
      </c>
      <c r="G132" s="133">
        <f t="shared" si="24"/>
        <v>0</v>
      </c>
      <c r="H132" s="124"/>
      <c r="I132" s="84"/>
      <c r="J132" s="86"/>
      <c r="K132" s="85"/>
      <c r="L132" s="85"/>
      <c r="M132" s="85"/>
      <c r="N132" s="85"/>
      <c r="O132" s="85"/>
      <c r="P132" s="85"/>
    </row>
    <row r="133" spans="1:16" ht="12.75">
      <c r="A133" s="85"/>
      <c r="B133" s="120">
        <f t="shared" si="20"/>
        <v>124</v>
      </c>
      <c r="C133" s="131">
        <f t="shared" si="21"/>
        <v>0</v>
      </c>
      <c r="D133" s="131">
        <f t="shared" si="18"/>
        <v>0</v>
      </c>
      <c r="E133" s="132">
        <f t="shared" si="22"/>
        <v>0</v>
      </c>
      <c r="F133" s="133">
        <f t="shared" si="19"/>
        <v>0</v>
      </c>
      <c r="G133" s="133">
        <f>G131+D133</f>
        <v>0</v>
      </c>
      <c r="H133" s="124"/>
      <c r="I133" s="84"/>
      <c r="J133" s="86"/>
      <c r="K133" s="85"/>
      <c r="L133" s="85"/>
      <c r="M133" s="85"/>
      <c r="N133" s="85"/>
      <c r="O133" s="85"/>
      <c r="P133" s="85"/>
    </row>
    <row r="134" spans="1:16" ht="12.75">
      <c r="A134" s="85"/>
      <c r="B134" s="120">
        <f t="shared" si="20"/>
        <v>125</v>
      </c>
      <c r="C134" s="131">
        <f t="shared" si="21"/>
        <v>0</v>
      </c>
      <c r="D134" s="131">
        <f t="shared" si="18"/>
        <v>0</v>
      </c>
      <c r="E134" s="132">
        <f t="shared" si="22"/>
        <v>0</v>
      </c>
      <c r="F134" s="133">
        <f t="shared" si="19"/>
        <v>0</v>
      </c>
      <c r="G134" s="133">
        <f aca="true" t="shared" si="25" ref="G134:G165">G133+D134</f>
        <v>0</v>
      </c>
      <c r="H134" s="124"/>
      <c r="I134" s="84"/>
      <c r="J134" s="86"/>
      <c r="K134" s="85"/>
      <c r="L134" s="85"/>
      <c r="M134" s="85"/>
      <c r="N134" s="85"/>
      <c r="O134" s="85"/>
      <c r="P134" s="85"/>
    </row>
    <row r="135" spans="1:16" ht="12.75">
      <c r="A135" s="85"/>
      <c r="B135" s="120">
        <f t="shared" si="20"/>
        <v>126</v>
      </c>
      <c r="C135" s="131">
        <f t="shared" si="21"/>
        <v>0</v>
      </c>
      <c r="D135" s="131">
        <f t="shared" si="18"/>
        <v>0</v>
      </c>
      <c r="E135" s="132">
        <f t="shared" si="22"/>
        <v>0</v>
      </c>
      <c r="F135" s="133">
        <f t="shared" si="19"/>
        <v>0</v>
      </c>
      <c r="G135" s="133">
        <f t="shared" si="25"/>
        <v>0</v>
      </c>
      <c r="H135" s="124"/>
      <c r="I135" s="84"/>
      <c r="J135" s="86"/>
      <c r="K135" s="85"/>
      <c r="L135" s="85"/>
      <c r="M135" s="85"/>
      <c r="N135" s="85"/>
      <c r="O135" s="85"/>
      <c r="P135" s="85"/>
    </row>
    <row r="136" spans="1:16" ht="12.75">
      <c r="A136" s="85"/>
      <c r="B136" s="120">
        <f t="shared" si="20"/>
        <v>127</v>
      </c>
      <c r="C136" s="131">
        <f t="shared" si="21"/>
        <v>0</v>
      </c>
      <c r="D136" s="131">
        <f t="shared" si="18"/>
        <v>0</v>
      </c>
      <c r="E136" s="132">
        <f t="shared" si="22"/>
        <v>0</v>
      </c>
      <c r="F136" s="133">
        <f t="shared" si="19"/>
        <v>0</v>
      </c>
      <c r="G136" s="133">
        <f t="shared" si="25"/>
        <v>0</v>
      </c>
      <c r="H136" s="124"/>
      <c r="I136" s="84"/>
      <c r="J136" s="86"/>
      <c r="K136" s="85"/>
      <c r="L136" s="85"/>
      <c r="M136" s="85"/>
      <c r="N136" s="85"/>
      <c r="O136" s="85"/>
      <c r="P136" s="85"/>
    </row>
    <row r="137" spans="1:16" ht="12.75">
      <c r="A137" s="85"/>
      <c r="B137" s="120">
        <f t="shared" si="20"/>
        <v>128</v>
      </c>
      <c r="C137" s="131">
        <f t="shared" si="21"/>
        <v>0</v>
      </c>
      <c r="D137" s="131">
        <f t="shared" si="18"/>
        <v>0</v>
      </c>
      <c r="E137" s="132">
        <f t="shared" si="22"/>
        <v>0</v>
      </c>
      <c r="F137" s="133">
        <f t="shared" si="19"/>
        <v>0</v>
      </c>
      <c r="G137" s="133">
        <f t="shared" si="25"/>
        <v>0</v>
      </c>
      <c r="H137" s="124"/>
      <c r="I137" s="84"/>
      <c r="J137" s="86"/>
      <c r="K137" s="85"/>
      <c r="L137" s="85"/>
      <c r="M137" s="85"/>
      <c r="N137" s="85"/>
      <c r="O137" s="85"/>
      <c r="P137" s="85"/>
    </row>
    <row r="138" spans="1:16" ht="12.75">
      <c r="A138" s="85"/>
      <c r="B138" s="120">
        <f t="shared" si="20"/>
        <v>129</v>
      </c>
      <c r="C138" s="131">
        <f t="shared" si="21"/>
        <v>0</v>
      </c>
      <c r="D138" s="131">
        <f aca="true" t="shared" si="26" ref="D138:D201">IF(C138&gt;0,(Rate/100)/Period*Beginning_balance,0)</f>
        <v>0</v>
      </c>
      <c r="E138" s="132">
        <f t="shared" si="22"/>
        <v>0</v>
      </c>
      <c r="F138" s="133">
        <f aca="true" t="shared" si="27" ref="F138:F201">IF(C138&gt;1,(C138-E138),0)</f>
        <v>0</v>
      </c>
      <c r="G138" s="133">
        <f t="shared" si="25"/>
        <v>0</v>
      </c>
      <c r="H138" s="124"/>
      <c r="I138" s="84"/>
      <c r="J138" s="86"/>
      <c r="K138" s="85"/>
      <c r="L138" s="85"/>
      <c r="M138" s="85"/>
      <c r="N138" s="85"/>
      <c r="O138" s="85"/>
      <c r="P138" s="85"/>
    </row>
    <row r="139" spans="1:16" ht="12.75">
      <c r="A139" s="85"/>
      <c r="B139" s="120">
        <f aca="true" t="shared" si="28" ref="B139:B202">+B138+1</f>
        <v>130</v>
      </c>
      <c r="C139" s="131">
        <f aca="true" t="shared" si="29" ref="C139:C202">IF(F138&gt;0,F138,0)</f>
        <v>0</v>
      </c>
      <c r="D139" s="131">
        <f t="shared" si="26"/>
        <v>0</v>
      </c>
      <c r="E139" s="132">
        <f aca="true" t="shared" si="30" ref="E139:E202">IF(C139&lt;1,0,(Payment-Interest))</f>
        <v>0</v>
      </c>
      <c r="F139" s="133">
        <f t="shared" si="27"/>
        <v>0</v>
      </c>
      <c r="G139" s="133">
        <f t="shared" si="25"/>
        <v>0</v>
      </c>
      <c r="H139" s="124"/>
      <c r="I139" s="84"/>
      <c r="J139" s="86"/>
      <c r="K139" s="85"/>
      <c r="L139" s="85"/>
      <c r="M139" s="85"/>
      <c r="N139" s="85"/>
      <c r="O139" s="85"/>
      <c r="P139" s="85"/>
    </row>
    <row r="140" spans="1:16" ht="12.75">
      <c r="A140" s="85"/>
      <c r="B140" s="120">
        <f t="shared" si="28"/>
        <v>131</v>
      </c>
      <c r="C140" s="131">
        <f t="shared" si="29"/>
        <v>0</v>
      </c>
      <c r="D140" s="131">
        <f t="shared" si="26"/>
        <v>0</v>
      </c>
      <c r="E140" s="132">
        <f t="shared" si="30"/>
        <v>0</v>
      </c>
      <c r="F140" s="133">
        <f t="shared" si="27"/>
        <v>0</v>
      </c>
      <c r="G140" s="133">
        <f t="shared" si="25"/>
        <v>0</v>
      </c>
      <c r="H140" s="124"/>
      <c r="I140" s="84"/>
      <c r="J140" s="86"/>
      <c r="K140" s="85"/>
      <c r="L140" s="85"/>
      <c r="M140" s="85"/>
      <c r="N140" s="85"/>
      <c r="O140" s="85"/>
      <c r="P140" s="85"/>
    </row>
    <row r="141" spans="1:16" ht="12.75">
      <c r="A141" s="85"/>
      <c r="B141" s="120">
        <f t="shared" si="28"/>
        <v>132</v>
      </c>
      <c r="C141" s="131">
        <f t="shared" si="29"/>
        <v>0</v>
      </c>
      <c r="D141" s="131">
        <f t="shared" si="26"/>
        <v>0</v>
      </c>
      <c r="E141" s="132">
        <f t="shared" si="30"/>
        <v>0</v>
      </c>
      <c r="F141" s="133">
        <f t="shared" si="27"/>
        <v>0</v>
      </c>
      <c r="G141" s="133">
        <f t="shared" si="25"/>
        <v>0</v>
      </c>
      <c r="H141" s="124"/>
      <c r="I141" s="84"/>
      <c r="J141" s="86"/>
      <c r="K141" s="85"/>
      <c r="L141" s="85"/>
      <c r="M141" s="85"/>
      <c r="N141" s="85"/>
      <c r="O141" s="85"/>
      <c r="P141" s="85"/>
    </row>
    <row r="142" spans="1:16" ht="12.75">
      <c r="A142" s="85"/>
      <c r="B142" s="120">
        <f t="shared" si="28"/>
        <v>133</v>
      </c>
      <c r="C142" s="131">
        <f t="shared" si="29"/>
        <v>0</v>
      </c>
      <c r="D142" s="131">
        <f t="shared" si="26"/>
        <v>0</v>
      </c>
      <c r="E142" s="132">
        <f t="shared" si="30"/>
        <v>0</v>
      </c>
      <c r="F142" s="133">
        <f t="shared" si="27"/>
        <v>0</v>
      </c>
      <c r="G142" s="133">
        <f t="shared" si="25"/>
        <v>0</v>
      </c>
      <c r="H142" s="124"/>
      <c r="I142" s="84"/>
      <c r="J142" s="86"/>
      <c r="K142" s="85"/>
      <c r="L142" s="85"/>
      <c r="M142" s="85"/>
      <c r="N142" s="85"/>
      <c r="O142" s="85"/>
      <c r="P142" s="85"/>
    </row>
    <row r="143" spans="1:16" ht="12.75">
      <c r="A143" s="85"/>
      <c r="B143" s="120">
        <f t="shared" si="28"/>
        <v>134</v>
      </c>
      <c r="C143" s="131">
        <f t="shared" si="29"/>
        <v>0</v>
      </c>
      <c r="D143" s="131">
        <f t="shared" si="26"/>
        <v>0</v>
      </c>
      <c r="E143" s="132">
        <f t="shared" si="30"/>
        <v>0</v>
      </c>
      <c r="F143" s="133">
        <f t="shared" si="27"/>
        <v>0</v>
      </c>
      <c r="G143" s="133">
        <f t="shared" si="25"/>
        <v>0</v>
      </c>
      <c r="H143" s="124"/>
      <c r="I143" s="84"/>
      <c r="J143" s="86"/>
      <c r="K143" s="85"/>
      <c r="L143" s="85"/>
      <c r="M143" s="85"/>
      <c r="N143" s="85"/>
      <c r="O143" s="85"/>
      <c r="P143" s="85"/>
    </row>
    <row r="144" spans="1:16" ht="12.75">
      <c r="A144" s="85"/>
      <c r="B144" s="120">
        <f t="shared" si="28"/>
        <v>135</v>
      </c>
      <c r="C144" s="131">
        <f t="shared" si="29"/>
        <v>0</v>
      </c>
      <c r="D144" s="131">
        <f t="shared" si="26"/>
        <v>0</v>
      </c>
      <c r="E144" s="132">
        <f t="shared" si="30"/>
        <v>0</v>
      </c>
      <c r="F144" s="133">
        <f t="shared" si="27"/>
        <v>0</v>
      </c>
      <c r="G144" s="133">
        <f t="shared" si="25"/>
        <v>0</v>
      </c>
      <c r="H144" s="124"/>
      <c r="I144" s="84"/>
      <c r="J144" s="86"/>
      <c r="K144" s="85"/>
      <c r="L144" s="85"/>
      <c r="M144" s="85"/>
      <c r="N144" s="85"/>
      <c r="O144" s="85"/>
      <c r="P144" s="85"/>
    </row>
    <row r="145" spans="1:16" ht="12.75">
      <c r="A145" s="85"/>
      <c r="B145" s="120">
        <f t="shared" si="28"/>
        <v>136</v>
      </c>
      <c r="C145" s="131">
        <f t="shared" si="29"/>
        <v>0</v>
      </c>
      <c r="D145" s="131">
        <f t="shared" si="26"/>
        <v>0</v>
      </c>
      <c r="E145" s="132">
        <f t="shared" si="30"/>
        <v>0</v>
      </c>
      <c r="F145" s="133">
        <f t="shared" si="27"/>
        <v>0</v>
      </c>
      <c r="G145" s="133">
        <f t="shared" si="25"/>
        <v>0</v>
      </c>
      <c r="H145" s="124"/>
      <c r="I145" s="84"/>
      <c r="J145" s="86"/>
      <c r="K145" s="85"/>
      <c r="L145" s="85"/>
      <c r="M145" s="85"/>
      <c r="N145" s="85"/>
      <c r="O145" s="85"/>
      <c r="P145" s="85"/>
    </row>
    <row r="146" spans="1:16" ht="12.75">
      <c r="A146" s="85"/>
      <c r="B146" s="120">
        <f t="shared" si="28"/>
        <v>137</v>
      </c>
      <c r="C146" s="131">
        <f t="shared" si="29"/>
        <v>0</v>
      </c>
      <c r="D146" s="131">
        <f t="shared" si="26"/>
        <v>0</v>
      </c>
      <c r="E146" s="132">
        <f t="shared" si="30"/>
        <v>0</v>
      </c>
      <c r="F146" s="133">
        <f t="shared" si="27"/>
        <v>0</v>
      </c>
      <c r="G146" s="133">
        <f t="shared" si="25"/>
        <v>0</v>
      </c>
      <c r="H146" s="124"/>
      <c r="I146" s="84"/>
      <c r="J146" s="86"/>
      <c r="K146" s="85"/>
      <c r="L146" s="85"/>
      <c r="M146" s="85"/>
      <c r="N146" s="85"/>
      <c r="O146" s="85"/>
      <c r="P146" s="85"/>
    </row>
    <row r="147" spans="1:16" ht="12.75">
      <c r="A147" s="85"/>
      <c r="B147" s="120">
        <f t="shared" si="28"/>
        <v>138</v>
      </c>
      <c r="C147" s="131">
        <f t="shared" si="29"/>
        <v>0</v>
      </c>
      <c r="D147" s="131">
        <f t="shared" si="26"/>
        <v>0</v>
      </c>
      <c r="E147" s="132">
        <f t="shared" si="30"/>
        <v>0</v>
      </c>
      <c r="F147" s="133">
        <f t="shared" si="27"/>
        <v>0</v>
      </c>
      <c r="G147" s="133">
        <f t="shared" si="25"/>
        <v>0</v>
      </c>
      <c r="H147" s="124"/>
      <c r="I147" s="84"/>
      <c r="J147" s="86"/>
      <c r="K147" s="85"/>
      <c r="L147" s="85"/>
      <c r="M147" s="85"/>
      <c r="N147" s="85"/>
      <c r="O147" s="85"/>
      <c r="P147" s="85"/>
    </row>
    <row r="148" spans="1:16" ht="12.75">
      <c r="A148" s="85"/>
      <c r="B148" s="120">
        <f t="shared" si="28"/>
        <v>139</v>
      </c>
      <c r="C148" s="131">
        <f t="shared" si="29"/>
        <v>0</v>
      </c>
      <c r="D148" s="131">
        <f t="shared" si="26"/>
        <v>0</v>
      </c>
      <c r="E148" s="132">
        <f t="shared" si="30"/>
        <v>0</v>
      </c>
      <c r="F148" s="133">
        <f t="shared" si="27"/>
        <v>0</v>
      </c>
      <c r="G148" s="133">
        <f t="shared" si="25"/>
        <v>0</v>
      </c>
      <c r="H148" s="124"/>
      <c r="I148" s="84"/>
      <c r="J148" s="86"/>
      <c r="K148" s="85"/>
      <c r="L148" s="85"/>
      <c r="M148" s="85"/>
      <c r="N148" s="85"/>
      <c r="O148" s="85"/>
      <c r="P148" s="85"/>
    </row>
    <row r="149" spans="1:16" ht="12.75">
      <c r="A149" s="85"/>
      <c r="B149" s="120">
        <f t="shared" si="28"/>
        <v>140</v>
      </c>
      <c r="C149" s="131">
        <f t="shared" si="29"/>
        <v>0</v>
      </c>
      <c r="D149" s="131">
        <f t="shared" si="26"/>
        <v>0</v>
      </c>
      <c r="E149" s="132">
        <f t="shared" si="30"/>
        <v>0</v>
      </c>
      <c r="F149" s="133">
        <f t="shared" si="27"/>
        <v>0</v>
      </c>
      <c r="G149" s="133">
        <f t="shared" si="25"/>
        <v>0</v>
      </c>
      <c r="H149" s="124"/>
      <c r="I149" s="84"/>
      <c r="J149" s="86"/>
      <c r="K149" s="85"/>
      <c r="L149" s="85"/>
      <c r="M149" s="85"/>
      <c r="N149" s="85"/>
      <c r="O149" s="85"/>
      <c r="P149" s="85"/>
    </row>
    <row r="150" spans="1:16" ht="12.75">
      <c r="A150" s="85"/>
      <c r="B150" s="120">
        <f t="shared" si="28"/>
        <v>141</v>
      </c>
      <c r="C150" s="131">
        <f t="shared" si="29"/>
        <v>0</v>
      </c>
      <c r="D150" s="131">
        <f t="shared" si="26"/>
        <v>0</v>
      </c>
      <c r="E150" s="132">
        <f t="shared" si="30"/>
        <v>0</v>
      </c>
      <c r="F150" s="133">
        <f t="shared" si="27"/>
        <v>0</v>
      </c>
      <c r="G150" s="133">
        <f t="shared" si="25"/>
        <v>0</v>
      </c>
      <c r="H150" s="124"/>
      <c r="I150" s="84"/>
      <c r="J150" s="86"/>
      <c r="K150" s="85"/>
      <c r="L150" s="85"/>
      <c r="M150" s="85"/>
      <c r="N150" s="85"/>
      <c r="O150" s="85"/>
      <c r="P150" s="85"/>
    </row>
    <row r="151" spans="1:16" ht="12.75">
      <c r="A151" s="85"/>
      <c r="B151" s="120">
        <f t="shared" si="28"/>
        <v>142</v>
      </c>
      <c r="C151" s="131">
        <f t="shared" si="29"/>
        <v>0</v>
      </c>
      <c r="D151" s="131">
        <f t="shared" si="26"/>
        <v>0</v>
      </c>
      <c r="E151" s="132">
        <f t="shared" si="30"/>
        <v>0</v>
      </c>
      <c r="F151" s="133">
        <f t="shared" si="27"/>
        <v>0</v>
      </c>
      <c r="G151" s="133">
        <f t="shared" si="25"/>
        <v>0</v>
      </c>
      <c r="H151" s="124"/>
      <c r="I151" s="84"/>
      <c r="J151" s="86"/>
      <c r="K151" s="85"/>
      <c r="L151" s="85"/>
      <c r="M151" s="85"/>
      <c r="N151" s="85"/>
      <c r="O151" s="85"/>
      <c r="P151" s="85"/>
    </row>
    <row r="152" spans="1:16" ht="12.75">
      <c r="A152" s="85"/>
      <c r="B152" s="120">
        <f t="shared" si="28"/>
        <v>143</v>
      </c>
      <c r="C152" s="131">
        <f t="shared" si="29"/>
        <v>0</v>
      </c>
      <c r="D152" s="131">
        <f t="shared" si="26"/>
        <v>0</v>
      </c>
      <c r="E152" s="132">
        <f t="shared" si="30"/>
        <v>0</v>
      </c>
      <c r="F152" s="133">
        <f t="shared" si="27"/>
        <v>0</v>
      </c>
      <c r="G152" s="133">
        <f t="shared" si="25"/>
        <v>0</v>
      </c>
      <c r="H152" s="124"/>
      <c r="I152" s="84"/>
      <c r="J152" s="86"/>
      <c r="K152" s="85"/>
      <c r="L152" s="85"/>
      <c r="M152" s="85"/>
      <c r="N152" s="85"/>
      <c r="O152" s="85"/>
      <c r="P152" s="85"/>
    </row>
    <row r="153" spans="1:16" ht="12.75">
      <c r="A153" s="85"/>
      <c r="B153" s="120">
        <f t="shared" si="28"/>
        <v>144</v>
      </c>
      <c r="C153" s="131">
        <f t="shared" si="29"/>
        <v>0</v>
      </c>
      <c r="D153" s="131">
        <f t="shared" si="26"/>
        <v>0</v>
      </c>
      <c r="E153" s="132">
        <f t="shared" si="30"/>
        <v>0</v>
      </c>
      <c r="F153" s="133">
        <f t="shared" si="27"/>
        <v>0</v>
      </c>
      <c r="G153" s="133">
        <f t="shared" si="25"/>
        <v>0</v>
      </c>
      <c r="H153" s="124"/>
      <c r="I153" s="84"/>
      <c r="J153" s="86"/>
      <c r="K153" s="85"/>
      <c r="L153" s="85"/>
      <c r="M153" s="85"/>
      <c r="N153" s="85"/>
      <c r="O153" s="85"/>
      <c r="P153" s="85"/>
    </row>
    <row r="154" spans="1:16" ht="12.75">
      <c r="A154" s="85"/>
      <c r="B154" s="120">
        <f t="shared" si="28"/>
        <v>145</v>
      </c>
      <c r="C154" s="131">
        <f t="shared" si="29"/>
        <v>0</v>
      </c>
      <c r="D154" s="131">
        <f t="shared" si="26"/>
        <v>0</v>
      </c>
      <c r="E154" s="132">
        <f t="shared" si="30"/>
        <v>0</v>
      </c>
      <c r="F154" s="133">
        <f t="shared" si="27"/>
        <v>0</v>
      </c>
      <c r="G154" s="133">
        <f t="shared" si="25"/>
        <v>0</v>
      </c>
      <c r="H154" s="124"/>
      <c r="I154" s="84"/>
      <c r="J154" s="86"/>
      <c r="K154" s="85"/>
      <c r="L154" s="85"/>
      <c r="M154" s="85"/>
      <c r="N154" s="85"/>
      <c r="O154" s="85"/>
      <c r="P154" s="85"/>
    </row>
    <row r="155" spans="1:16" ht="12.75">
      <c r="A155" s="85"/>
      <c r="B155" s="120">
        <f t="shared" si="28"/>
        <v>146</v>
      </c>
      <c r="C155" s="131">
        <f t="shared" si="29"/>
        <v>0</v>
      </c>
      <c r="D155" s="131">
        <f t="shared" si="26"/>
        <v>0</v>
      </c>
      <c r="E155" s="132">
        <f t="shared" si="30"/>
        <v>0</v>
      </c>
      <c r="F155" s="133">
        <f t="shared" si="27"/>
        <v>0</v>
      </c>
      <c r="G155" s="133">
        <f t="shared" si="25"/>
        <v>0</v>
      </c>
      <c r="H155" s="124"/>
      <c r="I155" s="84"/>
      <c r="J155" s="86"/>
      <c r="K155" s="85"/>
      <c r="L155" s="85"/>
      <c r="M155" s="85"/>
      <c r="N155" s="85"/>
      <c r="O155" s="85"/>
      <c r="P155" s="85"/>
    </row>
    <row r="156" spans="1:16" ht="12.75">
      <c r="A156" s="85"/>
      <c r="B156" s="120">
        <f t="shared" si="28"/>
        <v>147</v>
      </c>
      <c r="C156" s="131">
        <f t="shared" si="29"/>
        <v>0</v>
      </c>
      <c r="D156" s="131">
        <f t="shared" si="26"/>
        <v>0</v>
      </c>
      <c r="E156" s="132">
        <f t="shared" si="30"/>
        <v>0</v>
      </c>
      <c r="F156" s="133">
        <f t="shared" si="27"/>
        <v>0</v>
      </c>
      <c r="G156" s="133">
        <f t="shared" si="25"/>
        <v>0</v>
      </c>
      <c r="H156" s="124"/>
      <c r="I156" s="84"/>
      <c r="J156" s="86"/>
      <c r="K156" s="85"/>
      <c r="L156" s="85"/>
      <c r="M156" s="85"/>
      <c r="N156" s="85"/>
      <c r="O156" s="85"/>
      <c r="P156" s="85"/>
    </row>
    <row r="157" spans="1:16" ht="12.75">
      <c r="A157" s="85"/>
      <c r="B157" s="120">
        <f t="shared" si="28"/>
        <v>148</v>
      </c>
      <c r="C157" s="131">
        <f t="shared" si="29"/>
        <v>0</v>
      </c>
      <c r="D157" s="131">
        <f t="shared" si="26"/>
        <v>0</v>
      </c>
      <c r="E157" s="132">
        <f t="shared" si="30"/>
        <v>0</v>
      </c>
      <c r="F157" s="133">
        <f t="shared" si="27"/>
        <v>0</v>
      </c>
      <c r="G157" s="133">
        <f t="shared" si="25"/>
        <v>0</v>
      </c>
      <c r="H157" s="124"/>
      <c r="I157" s="84"/>
      <c r="J157" s="86"/>
      <c r="K157" s="85"/>
      <c r="L157" s="85"/>
      <c r="M157" s="85"/>
      <c r="N157" s="85"/>
      <c r="O157" s="85"/>
      <c r="P157" s="85"/>
    </row>
    <row r="158" spans="1:16" ht="12.75">
      <c r="A158" s="85"/>
      <c r="B158" s="120">
        <f t="shared" si="28"/>
        <v>149</v>
      </c>
      <c r="C158" s="131">
        <f t="shared" si="29"/>
        <v>0</v>
      </c>
      <c r="D158" s="131">
        <f t="shared" si="26"/>
        <v>0</v>
      </c>
      <c r="E158" s="132">
        <f t="shared" si="30"/>
        <v>0</v>
      </c>
      <c r="F158" s="133">
        <f t="shared" si="27"/>
        <v>0</v>
      </c>
      <c r="G158" s="133">
        <f t="shared" si="25"/>
        <v>0</v>
      </c>
      <c r="H158" s="124"/>
      <c r="I158" s="84"/>
      <c r="J158" s="86"/>
      <c r="K158" s="85"/>
      <c r="L158" s="85"/>
      <c r="M158" s="85"/>
      <c r="N158" s="85"/>
      <c r="O158" s="85"/>
      <c r="P158" s="85"/>
    </row>
    <row r="159" spans="1:16" ht="12.75">
      <c r="A159" s="85"/>
      <c r="B159" s="120">
        <f t="shared" si="28"/>
        <v>150</v>
      </c>
      <c r="C159" s="131">
        <f t="shared" si="29"/>
        <v>0</v>
      </c>
      <c r="D159" s="131">
        <f t="shared" si="26"/>
        <v>0</v>
      </c>
      <c r="E159" s="132">
        <f t="shared" si="30"/>
        <v>0</v>
      </c>
      <c r="F159" s="133">
        <f t="shared" si="27"/>
        <v>0</v>
      </c>
      <c r="G159" s="133">
        <f t="shared" si="25"/>
        <v>0</v>
      </c>
      <c r="H159" s="124"/>
      <c r="I159" s="84"/>
      <c r="J159" s="86"/>
      <c r="K159" s="85"/>
      <c r="L159" s="85"/>
      <c r="M159" s="85"/>
      <c r="N159" s="85"/>
      <c r="O159" s="85"/>
      <c r="P159" s="85"/>
    </row>
    <row r="160" spans="1:16" ht="12.75">
      <c r="A160" s="85"/>
      <c r="B160" s="120">
        <f t="shared" si="28"/>
        <v>151</v>
      </c>
      <c r="C160" s="131">
        <f t="shared" si="29"/>
        <v>0</v>
      </c>
      <c r="D160" s="131">
        <f t="shared" si="26"/>
        <v>0</v>
      </c>
      <c r="E160" s="132">
        <f t="shared" si="30"/>
        <v>0</v>
      </c>
      <c r="F160" s="133">
        <f t="shared" si="27"/>
        <v>0</v>
      </c>
      <c r="G160" s="133">
        <f t="shared" si="25"/>
        <v>0</v>
      </c>
      <c r="H160" s="124"/>
      <c r="I160" s="84"/>
      <c r="J160" s="86"/>
      <c r="K160" s="85"/>
      <c r="L160" s="85"/>
      <c r="M160" s="85"/>
      <c r="N160" s="85"/>
      <c r="O160" s="85"/>
      <c r="P160" s="85"/>
    </row>
    <row r="161" spans="1:16" ht="12.75">
      <c r="A161" s="85"/>
      <c r="B161" s="120">
        <f t="shared" si="28"/>
        <v>152</v>
      </c>
      <c r="C161" s="131">
        <f t="shared" si="29"/>
        <v>0</v>
      </c>
      <c r="D161" s="131">
        <f t="shared" si="26"/>
        <v>0</v>
      </c>
      <c r="E161" s="132">
        <f t="shared" si="30"/>
        <v>0</v>
      </c>
      <c r="F161" s="133">
        <f t="shared" si="27"/>
        <v>0</v>
      </c>
      <c r="G161" s="133">
        <f t="shared" si="25"/>
        <v>0</v>
      </c>
      <c r="H161" s="124"/>
      <c r="I161" s="84"/>
      <c r="J161" s="86"/>
      <c r="K161" s="85"/>
      <c r="L161" s="85"/>
      <c r="M161" s="85"/>
      <c r="N161" s="85"/>
      <c r="O161" s="85"/>
      <c r="P161" s="85"/>
    </row>
    <row r="162" spans="1:16" ht="12.75">
      <c r="A162" s="85"/>
      <c r="B162" s="120">
        <f t="shared" si="28"/>
        <v>153</v>
      </c>
      <c r="C162" s="131">
        <f t="shared" si="29"/>
        <v>0</v>
      </c>
      <c r="D162" s="131">
        <f t="shared" si="26"/>
        <v>0</v>
      </c>
      <c r="E162" s="132">
        <f t="shared" si="30"/>
        <v>0</v>
      </c>
      <c r="F162" s="133">
        <f t="shared" si="27"/>
        <v>0</v>
      </c>
      <c r="G162" s="133">
        <f t="shared" si="25"/>
        <v>0</v>
      </c>
      <c r="H162" s="124"/>
      <c r="I162" s="84"/>
      <c r="J162" s="86"/>
      <c r="K162" s="85"/>
      <c r="L162" s="85"/>
      <c r="M162" s="85"/>
      <c r="N162" s="85"/>
      <c r="O162" s="85"/>
      <c r="P162" s="85"/>
    </row>
    <row r="163" spans="1:16" ht="12.75">
      <c r="A163" s="85"/>
      <c r="B163" s="120">
        <f t="shared" si="28"/>
        <v>154</v>
      </c>
      <c r="C163" s="131">
        <f t="shared" si="29"/>
        <v>0</v>
      </c>
      <c r="D163" s="131">
        <f t="shared" si="26"/>
        <v>0</v>
      </c>
      <c r="E163" s="132">
        <f t="shared" si="30"/>
        <v>0</v>
      </c>
      <c r="F163" s="133">
        <f t="shared" si="27"/>
        <v>0</v>
      </c>
      <c r="G163" s="133">
        <f t="shared" si="25"/>
        <v>0</v>
      </c>
      <c r="H163" s="124"/>
      <c r="I163" s="84"/>
      <c r="J163" s="86"/>
      <c r="K163" s="85"/>
      <c r="L163" s="85"/>
      <c r="M163" s="85"/>
      <c r="N163" s="85"/>
      <c r="O163" s="85"/>
      <c r="P163" s="85"/>
    </row>
    <row r="164" spans="1:16" ht="12.75">
      <c r="A164" s="85"/>
      <c r="B164" s="120">
        <f t="shared" si="28"/>
        <v>155</v>
      </c>
      <c r="C164" s="131">
        <f t="shared" si="29"/>
        <v>0</v>
      </c>
      <c r="D164" s="131">
        <f t="shared" si="26"/>
        <v>0</v>
      </c>
      <c r="E164" s="132">
        <f t="shared" si="30"/>
        <v>0</v>
      </c>
      <c r="F164" s="133">
        <f t="shared" si="27"/>
        <v>0</v>
      </c>
      <c r="G164" s="133">
        <f t="shared" si="25"/>
        <v>0</v>
      </c>
      <c r="H164" s="124"/>
      <c r="I164" s="84"/>
      <c r="J164" s="86"/>
      <c r="K164" s="85"/>
      <c r="L164" s="85"/>
      <c r="M164" s="85"/>
      <c r="N164" s="85"/>
      <c r="O164" s="85"/>
      <c r="P164" s="85"/>
    </row>
    <row r="165" spans="1:16" ht="12.75">
      <c r="A165" s="85"/>
      <c r="B165" s="120">
        <f t="shared" si="28"/>
        <v>156</v>
      </c>
      <c r="C165" s="131">
        <f t="shared" si="29"/>
        <v>0</v>
      </c>
      <c r="D165" s="131">
        <f t="shared" si="26"/>
        <v>0</v>
      </c>
      <c r="E165" s="132">
        <f t="shared" si="30"/>
        <v>0</v>
      </c>
      <c r="F165" s="133">
        <f t="shared" si="27"/>
        <v>0</v>
      </c>
      <c r="G165" s="133">
        <f t="shared" si="25"/>
        <v>0</v>
      </c>
      <c r="H165" s="124"/>
      <c r="I165" s="84"/>
      <c r="J165" s="86"/>
      <c r="K165" s="85"/>
      <c r="L165" s="85"/>
      <c r="M165" s="85"/>
      <c r="N165" s="85"/>
      <c r="O165" s="85"/>
      <c r="P165" s="85"/>
    </row>
    <row r="166" spans="1:16" ht="12.75">
      <c r="A166" s="85"/>
      <c r="B166" s="120">
        <f t="shared" si="28"/>
        <v>157</v>
      </c>
      <c r="C166" s="131">
        <f t="shared" si="29"/>
        <v>0</v>
      </c>
      <c r="D166" s="131">
        <f t="shared" si="26"/>
        <v>0</v>
      </c>
      <c r="E166" s="132">
        <f t="shared" si="30"/>
        <v>0</v>
      </c>
      <c r="F166" s="133">
        <f t="shared" si="27"/>
        <v>0</v>
      </c>
      <c r="G166" s="133">
        <f aca="true" t="shared" si="31" ref="G166:G188">G165+D166</f>
        <v>0</v>
      </c>
      <c r="H166" s="124"/>
      <c r="I166" s="84"/>
      <c r="J166" s="86"/>
      <c r="K166" s="85"/>
      <c r="L166" s="85"/>
      <c r="M166" s="85"/>
      <c r="N166" s="85"/>
      <c r="O166" s="85"/>
      <c r="P166" s="85"/>
    </row>
    <row r="167" spans="1:16" ht="12.75">
      <c r="A167" s="85"/>
      <c r="B167" s="120">
        <f t="shared" si="28"/>
        <v>158</v>
      </c>
      <c r="C167" s="131">
        <f t="shared" si="29"/>
        <v>0</v>
      </c>
      <c r="D167" s="131">
        <f t="shared" si="26"/>
        <v>0</v>
      </c>
      <c r="E167" s="132">
        <f t="shared" si="30"/>
        <v>0</v>
      </c>
      <c r="F167" s="133">
        <f t="shared" si="27"/>
        <v>0</v>
      </c>
      <c r="G167" s="133">
        <f t="shared" si="31"/>
        <v>0</v>
      </c>
      <c r="H167" s="124"/>
      <c r="I167" s="84"/>
      <c r="J167" s="86"/>
      <c r="K167" s="85"/>
      <c r="L167" s="85"/>
      <c r="M167" s="85"/>
      <c r="N167" s="85"/>
      <c r="O167" s="85"/>
      <c r="P167" s="85"/>
    </row>
    <row r="168" spans="1:16" ht="12.75">
      <c r="A168" s="85"/>
      <c r="B168" s="120">
        <f t="shared" si="28"/>
        <v>159</v>
      </c>
      <c r="C168" s="131">
        <f t="shared" si="29"/>
        <v>0</v>
      </c>
      <c r="D168" s="131">
        <f t="shared" si="26"/>
        <v>0</v>
      </c>
      <c r="E168" s="132">
        <f t="shared" si="30"/>
        <v>0</v>
      </c>
      <c r="F168" s="133">
        <f t="shared" si="27"/>
        <v>0</v>
      </c>
      <c r="G168" s="133">
        <f t="shared" si="31"/>
        <v>0</v>
      </c>
      <c r="H168" s="124"/>
      <c r="I168" s="84"/>
      <c r="J168" s="86"/>
      <c r="K168" s="85"/>
      <c r="L168" s="85"/>
      <c r="M168" s="85"/>
      <c r="N168" s="85"/>
      <c r="O168" s="85"/>
      <c r="P168" s="85"/>
    </row>
    <row r="169" spans="1:16" ht="12.75">
      <c r="A169" s="85"/>
      <c r="B169" s="120">
        <f t="shared" si="28"/>
        <v>160</v>
      </c>
      <c r="C169" s="131">
        <f t="shared" si="29"/>
        <v>0</v>
      </c>
      <c r="D169" s="131">
        <f t="shared" si="26"/>
        <v>0</v>
      </c>
      <c r="E169" s="132">
        <f t="shared" si="30"/>
        <v>0</v>
      </c>
      <c r="F169" s="133">
        <f t="shared" si="27"/>
        <v>0</v>
      </c>
      <c r="G169" s="133">
        <f t="shared" si="31"/>
        <v>0</v>
      </c>
      <c r="H169" s="124"/>
      <c r="I169" s="84"/>
      <c r="J169" s="86"/>
      <c r="K169" s="85"/>
      <c r="L169" s="85"/>
      <c r="M169" s="85"/>
      <c r="N169" s="85"/>
      <c r="O169" s="85"/>
      <c r="P169" s="85"/>
    </row>
    <row r="170" spans="1:16" ht="12.75">
      <c r="A170" s="85"/>
      <c r="B170" s="120">
        <f t="shared" si="28"/>
        <v>161</v>
      </c>
      <c r="C170" s="131">
        <f t="shared" si="29"/>
        <v>0</v>
      </c>
      <c r="D170" s="131">
        <f t="shared" si="26"/>
        <v>0</v>
      </c>
      <c r="E170" s="132">
        <f t="shared" si="30"/>
        <v>0</v>
      </c>
      <c r="F170" s="133">
        <f t="shared" si="27"/>
        <v>0</v>
      </c>
      <c r="G170" s="133">
        <f t="shared" si="31"/>
        <v>0</v>
      </c>
      <c r="H170" s="124"/>
      <c r="I170" s="84"/>
      <c r="J170" s="86"/>
      <c r="K170" s="85"/>
      <c r="L170" s="85"/>
      <c r="M170" s="85"/>
      <c r="N170" s="85"/>
      <c r="O170" s="85"/>
      <c r="P170" s="85"/>
    </row>
    <row r="171" spans="1:16" ht="12.75">
      <c r="A171" s="85"/>
      <c r="B171" s="120">
        <f t="shared" si="28"/>
        <v>162</v>
      </c>
      <c r="C171" s="131">
        <f t="shared" si="29"/>
        <v>0</v>
      </c>
      <c r="D171" s="131">
        <f t="shared" si="26"/>
        <v>0</v>
      </c>
      <c r="E171" s="132">
        <f t="shared" si="30"/>
        <v>0</v>
      </c>
      <c r="F171" s="133">
        <f t="shared" si="27"/>
        <v>0</v>
      </c>
      <c r="G171" s="133">
        <f t="shared" si="31"/>
        <v>0</v>
      </c>
      <c r="H171" s="124"/>
      <c r="I171" s="84"/>
      <c r="J171" s="86"/>
      <c r="K171" s="85"/>
      <c r="L171" s="85"/>
      <c r="M171" s="85"/>
      <c r="N171" s="85"/>
      <c r="O171" s="85"/>
      <c r="P171" s="85"/>
    </row>
    <row r="172" spans="1:16" ht="12.75">
      <c r="A172" s="85"/>
      <c r="B172" s="120">
        <f t="shared" si="28"/>
        <v>163</v>
      </c>
      <c r="C172" s="131">
        <f t="shared" si="29"/>
        <v>0</v>
      </c>
      <c r="D172" s="131">
        <f t="shared" si="26"/>
        <v>0</v>
      </c>
      <c r="E172" s="132">
        <f t="shared" si="30"/>
        <v>0</v>
      </c>
      <c r="F172" s="133">
        <f t="shared" si="27"/>
        <v>0</v>
      </c>
      <c r="G172" s="133">
        <f t="shared" si="31"/>
        <v>0</v>
      </c>
      <c r="H172" s="124"/>
      <c r="I172" s="84"/>
      <c r="J172" s="86"/>
      <c r="K172" s="85"/>
      <c r="L172" s="85"/>
      <c r="M172" s="85"/>
      <c r="N172" s="85"/>
      <c r="O172" s="85"/>
      <c r="P172" s="85"/>
    </row>
    <row r="173" spans="1:16" ht="12.75">
      <c r="A173" s="85"/>
      <c r="B173" s="120">
        <f t="shared" si="28"/>
        <v>164</v>
      </c>
      <c r="C173" s="131">
        <f t="shared" si="29"/>
        <v>0</v>
      </c>
      <c r="D173" s="131">
        <f t="shared" si="26"/>
        <v>0</v>
      </c>
      <c r="E173" s="132">
        <f t="shared" si="30"/>
        <v>0</v>
      </c>
      <c r="F173" s="133">
        <f t="shared" si="27"/>
        <v>0</v>
      </c>
      <c r="G173" s="133">
        <f t="shared" si="31"/>
        <v>0</v>
      </c>
      <c r="H173" s="124"/>
      <c r="I173" s="84"/>
      <c r="J173" s="86"/>
      <c r="K173" s="85"/>
      <c r="L173" s="85"/>
      <c r="M173" s="85"/>
      <c r="N173" s="85"/>
      <c r="O173" s="85"/>
      <c r="P173" s="85"/>
    </row>
    <row r="174" spans="1:16" ht="12.75">
      <c r="A174" s="85"/>
      <c r="B174" s="120">
        <f t="shared" si="28"/>
        <v>165</v>
      </c>
      <c r="C174" s="131">
        <f t="shared" si="29"/>
        <v>0</v>
      </c>
      <c r="D174" s="131">
        <f t="shared" si="26"/>
        <v>0</v>
      </c>
      <c r="E174" s="132">
        <f t="shared" si="30"/>
        <v>0</v>
      </c>
      <c r="F174" s="133">
        <f t="shared" si="27"/>
        <v>0</v>
      </c>
      <c r="G174" s="133">
        <f t="shared" si="31"/>
        <v>0</v>
      </c>
      <c r="H174" s="124"/>
      <c r="I174" s="84"/>
      <c r="J174" s="86"/>
      <c r="K174" s="85"/>
      <c r="L174" s="85"/>
      <c r="M174" s="85"/>
      <c r="N174" s="85"/>
      <c r="O174" s="85"/>
      <c r="P174" s="85"/>
    </row>
    <row r="175" spans="1:16" ht="12.75">
      <c r="A175" s="85"/>
      <c r="B175" s="120">
        <f t="shared" si="28"/>
        <v>166</v>
      </c>
      <c r="C175" s="131">
        <f t="shared" si="29"/>
        <v>0</v>
      </c>
      <c r="D175" s="131">
        <f t="shared" si="26"/>
        <v>0</v>
      </c>
      <c r="E175" s="132">
        <f t="shared" si="30"/>
        <v>0</v>
      </c>
      <c r="F175" s="133">
        <f t="shared" si="27"/>
        <v>0</v>
      </c>
      <c r="G175" s="133">
        <f t="shared" si="31"/>
        <v>0</v>
      </c>
      <c r="H175" s="124"/>
      <c r="I175" s="84"/>
      <c r="J175" s="86"/>
      <c r="K175" s="85"/>
      <c r="L175" s="85"/>
      <c r="M175" s="85"/>
      <c r="N175" s="85"/>
      <c r="O175" s="85"/>
      <c r="P175" s="85"/>
    </row>
    <row r="176" spans="1:16" ht="12.75">
      <c r="A176" s="85"/>
      <c r="B176" s="120">
        <f t="shared" si="28"/>
        <v>167</v>
      </c>
      <c r="C176" s="131">
        <f t="shared" si="29"/>
        <v>0</v>
      </c>
      <c r="D176" s="131">
        <f t="shared" si="26"/>
        <v>0</v>
      </c>
      <c r="E176" s="132">
        <f t="shared" si="30"/>
        <v>0</v>
      </c>
      <c r="F176" s="133">
        <f t="shared" si="27"/>
        <v>0</v>
      </c>
      <c r="G176" s="133">
        <f t="shared" si="31"/>
        <v>0</v>
      </c>
      <c r="H176" s="124"/>
      <c r="I176" s="84"/>
      <c r="J176" s="86"/>
      <c r="K176" s="85"/>
      <c r="L176" s="85"/>
      <c r="M176" s="85"/>
      <c r="N176" s="85"/>
      <c r="O176" s="85"/>
      <c r="P176" s="85"/>
    </row>
    <row r="177" spans="1:16" ht="12.75">
      <c r="A177" s="85"/>
      <c r="B177" s="120">
        <f t="shared" si="28"/>
        <v>168</v>
      </c>
      <c r="C177" s="131">
        <f t="shared" si="29"/>
        <v>0</v>
      </c>
      <c r="D177" s="131">
        <f t="shared" si="26"/>
        <v>0</v>
      </c>
      <c r="E177" s="132">
        <f t="shared" si="30"/>
        <v>0</v>
      </c>
      <c r="F177" s="133">
        <f t="shared" si="27"/>
        <v>0</v>
      </c>
      <c r="G177" s="133">
        <f t="shared" si="31"/>
        <v>0</v>
      </c>
      <c r="H177" s="124"/>
      <c r="I177" s="84"/>
      <c r="J177" s="86"/>
      <c r="K177" s="85"/>
      <c r="L177" s="85"/>
      <c r="M177" s="85"/>
      <c r="N177" s="85"/>
      <c r="O177" s="85"/>
      <c r="P177" s="85"/>
    </row>
    <row r="178" spans="1:16" ht="12.75">
      <c r="A178" s="85"/>
      <c r="B178" s="120">
        <f t="shared" si="28"/>
        <v>169</v>
      </c>
      <c r="C178" s="131">
        <f t="shared" si="29"/>
        <v>0</v>
      </c>
      <c r="D178" s="131">
        <f t="shared" si="26"/>
        <v>0</v>
      </c>
      <c r="E178" s="132">
        <f t="shared" si="30"/>
        <v>0</v>
      </c>
      <c r="F178" s="133">
        <f t="shared" si="27"/>
        <v>0</v>
      </c>
      <c r="G178" s="133">
        <f t="shared" si="31"/>
        <v>0</v>
      </c>
      <c r="H178" s="124"/>
      <c r="I178" s="84"/>
      <c r="J178" s="86"/>
      <c r="K178" s="85"/>
      <c r="L178" s="85"/>
      <c r="M178" s="85"/>
      <c r="N178" s="85"/>
      <c r="O178" s="85"/>
      <c r="P178" s="85"/>
    </row>
    <row r="179" spans="1:16" ht="12.75">
      <c r="A179" s="85"/>
      <c r="B179" s="120">
        <f t="shared" si="28"/>
        <v>170</v>
      </c>
      <c r="C179" s="131">
        <f t="shared" si="29"/>
        <v>0</v>
      </c>
      <c r="D179" s="131">
        <f t="shared" si="26"/>
        <v>0</v>
      </c>
      <c r="E179" s="132">
        <f t="shared" si="30"/>
        <v>0</v>
      </c>
      <c r="F179" s="133">
        <f t="shared" si="27"/>
        <v>0</v>
      </c>
      <c r="G179" s="133">
        <f t="shared" si="31"/>
        <v>0</v>
      </c>
      <c r="H179" s="124"/>
      <c r="I179" s="84"/>
      <c r="J179" s="86"/>
      <c r="K179" s="85"/>
      <c r="L179" s="85"/>
      <c r="M179" s="85"/>
      <c r="N179" s="85"/>
      <c r="O179" s="85"/>
      <c r="P179" s="85"/>
    </row>
    <row r="180" spans="1:16" ht="12.75">
      <c r="A180" s="85"/>
      <c r="B180" s="120">
        <f t="shared" si="28"/>
        <v>171</v>
      </c>
      <c r="C180" s="131">
        <f t="shared" si="29"/>
        <v>0</v>
      </c>
      <c r="D180" s="131">
        <f t="shared" si="26"/>
        <v>0</v>
      </c>
      <c r="E180" s="132">
        <f t="shared" si="30"/>
        <v>0</v>
      </c>
      <c r="F180" s="133">
        <f t="shared" si="27"/>
        <v>0</v>
      </c>
      <c r="G180" s="133">
        <f t="shared" si="31"/>
        <v>0</v>
      </c>
      <c r="H180" s="124"/>
      <c r="I180" s="84"/>
      <c r="J180" s="86"/>
      <c r="K180" s="85"/>
      <c r="L180" s="85"/>
      <c r="M180" s="85"/>
      <c r="N180" s="85"/>
      <c r="O180" s="85"/>
      <c r="P180" s="85"/>
    </row>
    <row r="181" spans="1:16" ht="12.75">
      <c r="A181" s="85"/>
      <c r="B181" s="120">
        <f t="shared" si="28"/>
        <v>172</v>
      </c>
      <c r="C181" s="131">
        <f t="shared" si="29"/>
        <v>0</v>
      </c>
      <c r="D181" s="131">
        <f t="shared" si="26"/>
        <v>0</v>
      </c>
      <c r="E181" s="132">
        <f t="shared" si="30"/>
        <v>0</v>
      </c>
      <c r="F181" s="133">
        <f t="shared" si="27"/>
        <v>0</v>
      </c>
      <c r="G181" s="133">
        <f t="shared" si="31"/>
        <v>0</v>
      </c>
      <c r="H181" s="124"/>
      <c r="I181" s="84"/>
      <c r="J181" s="86"/>
      <c r="K181" s="85"/>
      <c r="L181" s="85"/>
      <c r="M181" s="85"/>
      <c r="N181" s="85"/>
      <c r="O181" s="85"/>
      <c r="P181" s="85"/>
    </row>
    <row r="182" spans="1:16" ht="12.75">
      <c r="A182" s="85"/>
      <c r="B182" s="120">
        <f t="shared" si="28"/>
        <v>173</v>
      </c>
      <c r="C182" s="131">
        <f t="shared" si="29"/>
        <v>0</v>
      </c>
      <c r="D182" s="131">
        <f t="shared" si="26"/>
        <v>0</v>
      </c>
      <c r="E182" s="132">
        <f t="shared" si="30"/>
        <v>0</v>
      </c>
      <c r="F182" s="133">
        <f t="shared" si="27"/>
        <v>0</v>
      </c>
      <c r="G182" s="133">
        <f t="shared" si="31"/>
        <v>0</v>
      </c>
      <c r="H182" s="124"/>
      <c r="I182" s="84"/>
      <c r="J182" s="86"/>
      <c r="K182" s="85"/>
      <c r="L182" s="85"/>
      <c r="M182" s="85"/>
      <c r="N182" s="85"/>
      <c r="O182" s="85"/>
      <c r="P182" s="85"/>
    </row>
    <row r="183" spans="1:16" ht="12.75">
      <c r="A183" s="85"/>
      <c r="B183" s="120">
        <f t="shared" si="28"/>
        <v>174</v>
      </c>
      <c r="C183" s="131">
        <f t="shared" si="29"/>
        <v>0</v>
      </c>
      <c r="D183" s="131">
        <f t="shared" si="26"/>
        <v>0</v>
      </c>
      <c r="E183" s="132">
        <f t="shared" si="30"/>
        <v>0</v>
      </c>
      <c r="F183" s="133">
        <f t="shared" si="27"/>
        <v>0</v>
      </c>
      <c r="G183" s="133">
        <f t="shared" si="31"/>
        <v>0</v>
      </c>
      <c r="H183" s="124"/>
      <c r="I183" s="84"/>
      <c r="J183" s="86"/>
      <c r="K183" s="85"/>
      <c r="L183" s="85"/>
      <c r="M183" s="85"/>
      <c r="N183" s="85"/>
      <c r="O183" s="85"/>
      <c r="P183" s="85"/>
    </row>
    <row r="184" spans="1:16" ht="12.75">
      <c r="A184" s="85"/>
      <c r="B184" s="120">
        <f t="shared" si="28"/>
        <v>175</v>
      </c>
      <c r="C184" s="131">
        <f t="shared" si="29"/>
        <v>0</v>
      </c>
      <c r="D184" s="131">
        <f t="shared" si="26"/>
        <v>0</v>
      </c>
      <c r="E184" s="132">
        <f t="shared" si="30"/>
        <v>0</v>
      </c>
      <c r="F184" s="133">
        <f t="shared" si="27"/>
        <v>0</v>
      </c>
      <c r="G184" s="133">
        <f t="shared" si="31"/>
        <v>0</v>
      </c>
      <c r="H184" s="124"/>
      <c r="I184" s="84"/>
      <c r="J184" s="86"/>
      <c r="K184" s="85"/>
      <c r="L184" s="85"/>
      <c r="M184" s="85"/>
      <c r="N184" s="85"/>
      <c r="O184" s="85"/>
      <c r="P184" s="85"/>
    </row>
    <row r="185" spans="1:16" ht="12.75">
      <c r="A185" s="85"/>
      <c r="B185" s="120">
        <f t="shared" si="28"/>
        <v>176</v>
      </c>
      <c r="C185" s="131">
        <f t="shared" si="29"/>
        <v>0</v>
      </c>
      <c r="D185" s="131">
        <f t="shared" si="26"/>
        <v>0</v>
      </c>
      <c r="E185" s="132">
        <f t="shared" si="30"/>
        <v>0</v>
      </c>
      <c r="F185" s="133">
        <f t="shared" si="27"/>
        <v>0</v>
      </c>
      <c r="G185" s="133">
        <f t="shared" si="31"/>
        <v>0</v>
      </c>
      <c r="H185" s="124"/>
      <c r="I185" s="84"/>
      <c r="J185" s="86"/>
      <c r="K185" s="85"/>
      <c r="L185" s="85"/>
      <c r="M185" s="85"/>
      <c r="N185" s="85"/>
      <c r="O185" s="85"/>
      <c r="P185" s="85"/>
    </row>
    <row r="186" spans="1:16" ht="12.75">
      <c r="A186" s="85"/>
      <c r="B186" s="120">
        <f t="shared" si="28"/>
        <v>177</v>
      </c>
      <c r="C186" s="131">
        <f t="shared" si="29"/>
        <v>0</v>
      </c>
      <c r="D186" s="131">
        <f t="shared" si="26"/>
        <v>0</v>
      </c>
      <c r="E186" s="132">
        <f t="shared" si="30"/>
        <v>0</v>
      </c>
      <c r="F186" s="133">
        <f t="shared" si="27"/>
        <v>0</v>
      </c>
      <c r="G186" s="133">
        <f t="shared" si="31"/>
        <v>0</v>
      </c>
      <c r="H186" s="124"/>
      <c r="I186" s="84"/>
      <c r="J186" s="86"/>
      <c r="K186" s="85"/>
      <c r="L186" s="85"/>
      <c r="M186" s="85"/>
      <c r="N186" s="85"/>
      <c r="O186" s="85"/>
      <c r="P186" s="85"/>
    </row>
    <row r="187" spans="1:16" ht="12.75">
      <c r="A187" s="85"/>
      <c r="B187" s="120">
        <f t="shared" si="28"/>
        <v>178</v>
      </c>
      <c r="C187" s="131">
        <f t="shared" si="29"/>
        <v>0</v>
      </c>
      <c r="D187" s="131">
        <f t="shared" si="26"/>
        <v>0</v>
      </c>
      <c r="E187" s="132">
        <f t="shared" si="30"/>
        <v>0</v>
      </c>
      <c r="F187" s="133">
        <f t="shared" si="27"/>
        <v>0</v>
      </c>
      <c r="G187" s="133">
        <f t="shared" si="31"/>
        <v>0</v>
      </c>
      <c r="H187" s="124"/>
      <c r="I187" s="84"/>
      <c r="J187" s="86"/>
      <c r="K187" s="85"/>
      <c r="L187" s="85"/>
      <c r="M187" s="85"/>
      <c r="N187" s="85"/>
      <c r="O187" s="85"/>
      <c r="P187" s="85"/>
    </row>
    <row r="188" spans="1:16" ht="12.75">
      <c r="A188" s="85"/>
      <c r="B188" s="120">
        <f t="shared" si="28"/>
        <v>179</v>
      </c>
      <c r="C188" s="131">
        <f t="shared" si="29"/>
        <v>0</v>
      </c>
      <c r="D188" s="131">
        <f t="shared" si="26"/>
        <v>0</v>
      </c>
      <c r="E188" s="132">
        <f t="shared" si="30"/>
        <v>0</v>
      </c>
      <c r="F188" s="133">
        <f t="shared" si="27"/>
        <v>0</v>
      </c>
      <c r="G188" s="133">
        <f t="shared" si="31"/>
        <v>0</v>
      </c>
      <c r="H188" s="124"/>
      <c r="I188" s="84"/>
      <c r="J188" s="86"/>
      <c r="K188" s="85"/>
      <c r="L188" s="85"/>
      <c r="M188" s="85"/>
      <c r="N188" s="85"/>
      <c r="O188" s="85"/>
      <c r="P188" s="85"/>
    </row>
    <row r="189" spans="1:16" ht="12.75">
      <c r="A189" s="85"/>
      <c r="B189" s="120">
        <f t="shared" si="28"/>
        <v>180</v>
      </c>
      <c r="C189" s="131">
        <f t="shared" si="29"/>
        <v>0</v>
      </c>
      <c r="D189" s="131">
        <f t="shared" si="26"/>
        <v>0</v>
      </c>
      <c r="E189" s="132">
        <f t="shared" si="30"/>
        <v>0</v>
      </c>
      <c r="F189" s="133">
        <f t="shared" si="27"/>
        <v>0</v>
      </c>
      <c r="G189" s="133">
        <f>G187+D189</f>
        <v>0</v>
      </c>
      <c r="H189" s="124"/>
      <c r="I189" s="84"/>
      <c r="J189" s="86"/>
      <c r="K189" s="85"/>
      <c r="L189" s="85"/>
      <c r="M189" s="85"/>
      <c r="N189" s="85"/>
      <c r="O189" s="85"/>
      <c r="P189" s="85"/>
    </row>
    <row r="190" spans="1:16" ht="12.75">
      <c r="A190" s="85"/>
      <c r="B190" s="120">
        <f t="shared" si="28"/>
        <v>181</v>
      </c>
      <c r="C190" s="131">
        <f t="shared" si="29"/>
        <v>0</v>
      </c>
      <c r="D190" s="131">
        <f t="shared" si="26"/>
        <v>0</v>
      </c>
      <c r="E190" s="132">
        <f t="shared" si="30"/>
        <v>0</v>
      </c>
      <c r="F190" s="133">
        <f t="shared" si="27"/>
        <v>0</v>
      </c>
      <c r="G190" s="133">
        <f aca="true" t="shared" si="32" ref="G190:G221">G189+D190</f>
        <v>0</v>
      </c>
      <c r="H190" s="124"/>
      <c r="I190" s="84"/>
      <c r="J190" s="86"/>
      <c r="K190" s="85"/>
      <c r="L190" s="85"/>
      <c r="M190" s="85"/>
      <c r="N190" s="85"/>
      <c r="O190" s="85"/>
      <c r="P190" s="85"/>
    </row>
    <row r="191" spans="1:16" ht="12.75">
      <c r="A191" s="85"/>
      <c r="B191" s="120">
        <f t="shared" si="28"/>
        <v>182</v>
      </c>
      <c r="C191" s="131">
        <f t="shared" si="29"/>
        <v>0</v>
      </c>
      <c r="D191" s="131">
        <f t="shared" si="26"/>
        <v>0</v>
      </c>
      <c r="E191" s="132">
        <f t="shared" si="30"/>
        <v>0</v>
      </c>
      <c r="F191" s="133">
        <f t="shared" si="27"/>
        <v>0</v>
      </c>
      <c r="G191" s="133">
        <f t="shared" si="32"/>
        <v>0</v>
      </c>
      <c r="H191" s="124"/>
      <c r="I191" s="84"/>
      <c r="J191" s="86"/>
      <c r="K191" s="85"/>
      <c r="L191" s="85"/>
      <c r="M191" s="85"/>
      <c r="N191" s="85"/>
      <c r="O191" s="85"/>
      <c r="P191" s="85"/>
    </row>
    <row r="192" spans="1:16" ht="12.75">
      <c r="A192" s="85"/>
      <c r="B192" s="120">
        <f t="shared" si="28"/>
        <v>183</v>
      </c>
      <c r="C192" s="131">
        <f t="shared" si="29"/>
        <v>0</v>
      </c>
      <c r="D192" s="131">
        <f t="shared" si="26"/>
        <v>0</v>
      </c>
      <c r="E192" s="132">
        <f t="shared" si="30"/>
        <v>0</v>
      </c>
      <c r="F192" s="133">
        <f t="shared" si="27"/>
        <v>0</v>
      </c>
      <c r="G192" s="133">
        <f t="shared" si="32"/>
        <v>0</v>
      </c>
      <c r="H192" s="124"/>
      <c r="I192" s="84"/>
      <c r="J192" s="86"/>
      <c r="K192" s="85"/>
      <c r="L192" s="85"/>
      <c r="M192" s="85"/>
      <c r="N192" s="85"/>
      <c r="O192" s="85"/>
      <c r="P192" s="85"/>
    </row>
    <row r="193" spans="1:16" ht="12.75">
      <c r="A193" s="85"/>
      <c r="B193" s="120">
        <f t="shared" si="28"/>
        <v>184</v>
      </c>
      <c r="C193" s="131">
        <f t="shared" si="29"/>
        <v>0</v>
      </c>
      <c r="D193" s="131">
        <f t="shared" si="26"/>
        <v>0</v>
      </c>
      <c r="E193" s="132">
        <f t="shared" si="30"/>
        <v>0</v>
      </c>
      <c r="F193" s="133">
        <f t="shared" si="27"/>
        <v>0</v>
      </c>
      <c r="G193" s="133">
        <f t="shared" si="32"/>
        <v>0</v>
      </c>
      <c r="H193" s="124"/>
      <c r="I193" s="84"/>
      <c r="J193" s="86"/>
      <c r="K193" s="85"/>
      <c r="L193" s="85"/>
      <c r="M193" s="85"/>
      <c r="N193" s="85"/>
      <c r="O193" s="85"/>
      <c r="P193" s="85"/>
    </row>
    <row r="194" spans="1:16" ht="12.75">
      <c r="A194" s="85"/>
      <c r="B194" s="120">
        <f t="shared" si="28"/>
        <v>185</v>
      </c>
      <c r="C194" s="131">
        <f t="shared" si="29"/>
        <v>0</v>
      </c>
      <c r="D194" s="131">
        <f t="shared" si="26"/>
        <v>0</v>
      </c>
      <c r="E194" s="132">
        <f t="shared" si="30"/>
        <v>0</v>
      </c>
      <c r="F194" s="133">
        <f t="shared" si="27"/>
        <v>0</v>
      </c>
      <c r="G194" s="133">
        <f t="shared" si="32"/>
        <v>0</v>
      </c>
      <c r="H194" s="124"/>
      <c r="I194" s="84"/>
      <c r="J194" s="86"/>
      <c r="K194" s="85"/>
      <c r="L194" s="85"/>
      <c r="M194" s="85"/>
      <c r="N194" s="85"/>
      <c r="O194" s="85"/>
      <c r="P194" s="85"/>
    </row>
    <row r="195" spans="1:16" ht="12.75">
      <c r="A195" s="85"/>
      <c r="B195" s="120">
        <f t="shared" si="28"/>
        <v>186</v>
      </c>
      <c r="C195" s="131">
        <f t="shared" si="29"/>
        <v>0</v>
      </c>
      <c r="D195" s="131">
        <f t="shared" si="26"/>
        <v>0</v>
      </c>
      <c r="E195" s="132">
        <f t="shared" si="30"/>
        <v>0</v>
      </c>
      <c r="F195" s="133">
        <f t="shared" si="27"/>
        <v>0</v>
      </c>
      <c r="G195" s="133">
        <f t="shared" si="32"/>
        <v>0</v>
      </c>
      <c r="H195" s="124"/>
      <c r="I195" s="84"/>
      <c r="J195" s="86"/>
      <c r="K195" s="85"/>
      <c r="L195" s="85"/>
      <c r="M195" s="85"/>
      <c r="N195" s="85"/>
      <c r="O195" s="85"/>
      <c r="P195" s="85"/>
    </row>
    <row r="196" spans="1:16" ht="12.75">
      <c r="A196" s="85"/>
      <c r="B196" s="120">
        <f t="shared" si="28"/>
        <v>187</v>
      </c>
      <c r="C196" s="131">
        <f t="shared" si="29"/>
        <v>0</v>
      </c>
      <c r="D196" s="131">
        <f t="shared" si="26"/>
        <v>0</v>
      </c>
      <c r="E196" s="132">
        <f t="shared" si="30"/>
        <v>0</v>
      </c>
      <c r="F196" s="133">
        <f t="shared" si="27"/>
        <v>0</v>
      </c>
      <c r="G196" s="133">
        <f t="shared" si="32"/>
        <v>0</v>
      </c>
      <c r="H196" s="124"/>
      <c r="I196" s="84"/>
      <c r="J196" s="86"/>
      <c r="K196" s="85"/>
      <c r="L196" s="85"/>
      <c r="M196" s="85"/>
      <c r="N196" s="85"/>
      <c r="O196" s="85"/>
      <c r="P196" s="85"/>
    </row>
    <row r="197" spans="1:16" ht="12.75">
      <c r="A197" s="85"/>
      <c r="B197" s="120">
        <f t="shared" si="28"/>
        <v>188</v>
      </c>
      <c r="C197" s="131">
        <f t="shared" si="29"/>
        <v>0</v>
      </c>
      <c r="D197" s="131">
        <f t="shared" si="26"/>
        <v>0</v>
      </c>
      <c r="E197" s="132">
        <f t="shared" si="30"/>
        <v>0</v>
      </c>
      <c r="F197" s="133">
        <f t="shared" si="27"/>
        <v>0</v>
      </c>
      <c r="G197" s="133">
        <f t="shared" si="32"/>
        <v>0</v>
      </c>
      <c r="H197" s="124"/>
      <c r="I197" s="84"/>
      <c r="J197" s="86"/>
      <c r="K197" s="85"/>
      <c r="L197" s="85"/>
      <c r="M197" s="85"/>
      <c r="N197" s="85"/>
      <c r="O197" s="85"/>
      <c r="P197" s="85"/>
    </row>
    <row r="198" spans="1:16" ht="12.75">
      <c r="A198" s="85"/>
      <c r="B198" s="120">
        <f t="shared" si="28"/>
        <v>189</v>
      </c>
      <c r="C198" s="131">
        <f t="shared" si="29"/>
        <v>0</v>
      </c>
      <c r="D198" s="131">
        <f t="shared" si="26"/>
        <v>0</v>
      </c>
      <c r="E198" s="132">
        <f t="shared" si="30"/>
        <v>0</v>
      </c>
      <c r="F198" s="133">
        <f t="shared" si="27"/>
        <v>0</v>
      </c>
      <c r="G198" s="133">
        <f t="shared" si="32"/>
        <v>0</v>
      </c>
      <c r="H198" s="124"/>
      <c r="I198" s="84"/>
      <c r="J198" s="86"/>
      <c r="K198" s="85"/>
      <c r="L198" s="85"/>
      <c r="M198" s="85"/>
      <c r="N198" s="85"/>
      <c r="O198" s="85"/>
      <c r="P198" s="85"/>
    </row>
    <row r="199" spans="1:16" ht="12.75">
      <c r="A199" s="85"/>
      <c r="B199" s="120">
        <f t="shared" si="28"/>
        <v>190</v>
      </c>
      <c r="C199" s="131">
        <f t="shared" si="29"/>
        <v>0</v>
      </c>
      <c r="D199" s="131">
        <f t="shared" si="26"/>
        <v>0</v>
      </c>
      <c r="E199" s="132">
        <f t="shared" si="30"/>
        <v>0</v>
      </c>
      <c r="F199" s="133">
        <f t="shared" si="27"/>
        <v>0</v>
      </c>
      <c r="G199" s="133">
        <f t="shared" si="32"/>
        <v>0</v>
      </c>
      <c r="H199" s="124"/>
      <c r="I199" s="84"/>
      <c r="J199" s="86"/>
      <c r="K199" s="85"/>
      <c r="L199" s="85"/>
      <c r="M199" s="85"/>
      <c r="N199" s="85"/>
      <c r="O199" s="85"/>
      <c r="P199" s="85"/>
    </row>
    <row r="200" spans="1:16" ht="12.75">
      <c r="A200" s="85"/>
      <c r="B200" s="120">
        <f t="shared" si="28"/>
        <v>191</v>
      </c>
      <c r="C200" s="131">
        <f t="shared" si="29"/>
        <v>0</v>
      </c>
      <c r="D200" s="131">
        <f t="shared" si="26"/>
        <v>0</v>
      </c>
      <c r="E200" s="132">
        <f t="shared" si="30"/>
        <v>0</v>
      </c>
      <c r="F200" s="133">
        <f t="shared" si="27"/>
        <v>0</v>
      </c>
      <c r="G200" s="133">
        <f t="shared" si="32"/>
        <v>0</v>
      </c>
      <c r="H200" s="124"/>
      <c r="I200" s="84"/>
      <c r="J200" s="86"/>
      <c r="K200" s="85"/>
      <c r="L200" s="85"/>
      <c r="M200" s="85"/>
      <c r="N200" s="85"/>
      <c r="O200" s="85"/>
      <c r="P200" s="85"/>
    </row>
    <row r="201" spans="1:16" ht="12.75">
      <c r="A201" s="85"/>
      <c r="B201" s="120">
        <f t="shared" si="28"/>
        <v>192</v>
      </c>
      <c r="C201" s="131">
        <f t="shared" si="29"/>
        <v>0</v>
      </c>
      <c r="D201" s="131">
        <f t="shared" si="26"/>
        <v>0</v>
      </c>
      <c r="E201" s="132">
        <f t="shared" si="30"/>
        <v>0</v>
      </c>
      <c r="F201" s="133">
        <f t="shared" si="27"/>
        <v>0</v>
      </c>
      <c r="G201" s="133">
        <f t="shared" si="32"/>
        <v>0</v>
      </c>
      <c r="H201" s="124"/>
      <c r="I201" s="84"/>
      <c r="J201" s="86"/>
      <c r="K201" s="85"/>
      <c r="L201" s="85"/>
      <c r="M201" s="85"/>
      <c r="N201" s="85"/>
      <c r="O201" s="85"/>
      <c r="P201" s="85"/>
    </row>
    <row r="202" spans="1:16" ht="12.75">
      <c r="A202" s="85"/>
      <c r="B202" s="120">
        <f t="shared" si="28"/>
        <v>193</v>
      </c>
      <c r="C202" s="131">
        <f t="shared" si="29"/>
        <v>0</v>
      </c>
      <c r="D202" s="131">
        <f aca="true" t="shared" si="33" ref="D202:D265">IF(C202&gt;0,(Rate/100)/Period*Beginning_balance,0)</f>
        <v>0</v>
      </c>
      <c r="E202" s="132">
        <f t="shared" si="30"/>
        <v>0</v>
      </c>
      <c r="F202" s="133">
        <f aca="true" t="shared" si="34" ref="F202:F265">IF(C202&gt;1,(C202-E202),0)</f>
        <v>0</v>
      </c>
      <c r="G202" s="133">
        <f t="shared" si="32"/>
        <v>0</v>
      </c>
      <c r="H202" s="124"/>
      <c r="I202" s="84"/>
      <c r="J202" s="86"/>
      <c r="K202" s="85"/>
      <c r="L202" s="85"/>
      <c r="M202" s="85"/>
      <c r="N202" s="85"/>
      <c r="O202" s="85"/>
      <c r="P202" s="85"/>
    </row>
    <row r="203" spans="1:16" ht="12.75">
      <c r="A203" s="85"/>
      <c r="B203" s="120">
        <f aca="true" t="shared" si="35" ref="B203:B266">+B202+1</f>
        <v>194</v>
      </c>
      <c r="C203" s="131">
        <f aca="true" t="shared" si="36" ref="C203:C266">IF(F202&gt;0,F202,0)</f>
        <v>0</v>
      </c>
      <c r="D203" s="131">
        <f t="shared" si="33"/>
        <v>0</v>
      </c>
      <c r="E203" s="132">
        <f aca="true" t="shared" si="37" ref="E203:E266">IF(C203&lt;1,0,(Payment-Interest))</f>
        <v>0</v>
      </c>
      <c r="F203" s="133">
        <f t="shared" si="34"/>
        <v>0</v>
      </c>
      <c r="G203" s="133">
        <f t="shared" si="32"/>
        <v>0</v>
      </c>
      <c r="H203" s="124"/>
      <c r="I203" s="84"/>
      <c r="J203" s="86"/>
      <c r="K203" s="85"/>
      <c r="L203" s="85"/>
      <c r="M203" s="85"/>
      <c r="N203" s="85"/>
      <c r="O203" s="85"/>
      <c r="P203" s="85"/>
    </row>
    <row r="204" spans="1:16" ht="12.75">
      <c r="A204" s="85"/>
      <c r="B204" s="120">
        <f t="shared" si="35"/>
        <v>195</v>
      </c>
      <c r="C204" s="131">
        <f t="shared" si="36"/>
        <v>0</v>
      </c>
      <c r="D204" s="131">
        <f t="shared" si="33"/>
        <v>0</v>
      </c>
      <c r="E204" s="132">
        <f t="shared" si="37"/>
        <v>0</v>
      </c>
      <c r="F204" s="133">
        <f t="shared" si="34"/>
        <v>0</v>
      </c>
      <c r="G204" s="133">
        <f t="shared" si="32"/>
        <v>0</v>
      </c>
      <c r="H204" s="124"/>
      <c r="I204" s="84"/>
      <c r="J204" s="86"/>
      <c r="K204" s="85"/>
      <c r="L204" s="85"/>
      <c r="M204" s="85"/>
      <c r="N204" s="85"/>
      <c r="O204" s="85"/>
      <c r="P204" s="85"/>
    </row>
    <row r="205" spans="1:16" ht="12.75">
      <c r="A205" s="85"/>
      <c r="B205" s="120">
        <f t="shared" si="35"/>
        <v>196</v>
      </c>
      <c r="C205" s="131">
        <f t="shared" si="36"/>
        <v>0</v>
      </c>
      <c r="D205" s="131">
        <f t="shared" si="33"/>
        <v>0</v>
      </c>
      <c r="E205" s="132">
        <f t="shared" si="37"/>
        <v>0</v>
      </c>
      <c r="F205" s="133">
        <f t="shared" si="34"/>
        <v>0</v>
      </c>
      <c r="G205" s="133">
        <f t="shared" si="32"/>
        <v>0</v>
      </c>
      <c r="H205" s="124"/>
      <c r="I205" s="84"/>
      <c r="J205" s="86"/>
      <c r="K205" s="85"/>
      <c r="L205" s="85"/>
      <c r="M205" s="85"/>
      <c r="N205" s="85"/>
      <c r="O205" s="85"/>
      <c r="P205" s="85"/>
    </row>
    <row r="206" spans="1:16" ht="12.75">
      <c r="A206" s="85"/>
      <c r="B206" s="120">
        <f t="shared" si="35"/>
        <v>197</v>
      </c>
      <c r="C206" s="131">
        <f t="shared" si="36"/>
        <v>0</v>
      </c>
      <c r="D206" s="131">
        <f t="shared" si="33"/>
        <v>0</v>
      </c>
      <c r="E206" s="132">
        <f t="shared" si="37"/>
        <v>0</v>
      </c>
      <c r="F206" s="133">
        <f t="shared" si="34"/>
        <v>0</v>
      </c>
      <c r="G206" s="133">
        <f t="shared" si="32"/>
        <v>0</v>
      </c>
      <c r="H206" s="124"/>
      <c r="I206" s="84"/>
      <c r="J206" s="86"/>
      <c r="K206" s="85"/>
      <c r="L206" s="85"/>
      <c r="M206" s="85"/>
      <c r="N206" s="85"/>
      <c r="O206" s="85"/>
      <c r="P206" s="85"/>
    </row>
    <row r="207" spans="1:16" ht="12.75">
      <c r="A207" s="85"/>
      <c r="B207" s="120">
        <f t="shared" si="35"/>
        <v>198</v>
      </c>
      <c r="C207" s="131">
        <f t="shared" si="36"/>
        <v>0</v>
      </c>
      <c r="D207" s="131">
        <f t="shared" si="33"/>
        <v>0</v>
      </c>
      <c r="E207" s="132">
        <f t="shared" si="37"/>
        <v>0</v>
      </c>
      <c r="F207" s="133">
        <f t="shared" si="34"/>
        <v>0</v>
      </c>
      <c r="G207" s="133">
        <f t="shared" si="32"/>
        <v>0</v>
      </c>
      <c r="H207" s="124"/>
      <c r="I207" s="84"/>
      <c r="J207" s="86"/>
      <c r="K207" s="85"/>
      <c r="L207" s="85"/>
      <c r="M207" s="85"/>
      <c r="N207" s="85"/>
      <c r="O207" s="85"/>
      <c r="P207" s="85"/>
    </row>
    <row r="208" spans="1:16" ht="12.75">
      <c r="A208" s="85"/>
      <c r="B208" s="120">
        <f t="shared" si="35"/>
        <v>199</v>
      </c>
      <c r="C208" s="131">
        <f t="shared" si="36"/>
        <v>0</v>
      </c>
      <c r="D208" s="131">
        <f t="shared" si="33"/>
        <v>0</v>
      </c>
      <c r="E208" s="132">
        <f t="shared" si="37"/>
        <v>0</v>
      </c>
      <c r="F208" s="133">
        <f t="shared" si="34"/>
        <v>0</v>
      </c>
      <c r="G208" s="133">
        <f t="shared" si="32"/>
        <v>0</v>
      </c>
      <c r="H208" s="124"/>
      <c r="I208" s="84"/>
      <c r="J208" s="86"/>
      <c r="K208" s="85"/>
      <c r="L208" s="85"/>
      <c r="M208" s="85"/>
      <c r="N208" s="85"/>
      <c r="O208" s="85"/>
      <c r="P208" s="85"/>
    </row>
    <row r="209" spans="1:16" ht="12.75">
      <c r="A209" s="85"/>
      <c r="B209" s="120">
        <f t="shared" si="35"/>
        <v>200</v>
      </c>
      <c r="C209" s="131">
        <f t="shared" si="36"/>
        <v>0</v>
      </c>
      <c r="D209" s="131">
        <f t="shared" si="33"/>
        <v>0</v>
      </c>
      <c r="E209" s="132">
        <f t="shared" si="37"/>
        <v>0</v>
      </c>
      <c r="F209" s="133">
        <f t="shared" si="34"/>
        <v>0</v>
      </c>
      <c r="G209" s="133">
        <f t="shared" si="32"/>
        <v>0</v>
      </c>
      <c r="H209" s="124"/>
      <c r="I209" s="84"/>
      <c r="J209" s="86"/>
      <c r="K209" s="85"/>
      <c r="L209" s="85"/>
      <c r="M209" s="85"/>
      <c r="N209" s="85"/>
      <c r="O209" s="85"/>
      <c r="P209" s="85"/>
    </row>
    <row r="210" spans="1:16" ht="12.75">
      <c r="A210" s="85"/>
      <c r="B210" s="120">
        <f t="shared" si="35"/>
        <v>201</v>
      </c>
      <c r="C210" s="131">
        <f t="shared" si="36"/>
        <v>0</v>
      </c>
      <c r="D210" s="131">
        <f t="shared" si="33"/>
        <v>0</v>
      </c>
      <c r="E210" s="132">
        <f t="shared" si="37"/>
        <v>0</v>
      </c>
      <c r="F210" s="133">
        <f t="shared" si="34"/>
        <v>0</v>
      </c>
      <c r="G210" s="133">
        <f t="shared" si="32"/>
        <v>0</v>
      </c>
      <c r="H210" s="124"/>
      <c r="I210" s="84"/>
      <c r="J210" s="86"/>
      <c r="K210" s="85"/>
      <c r="L210" s="85"/>
      <c r="M210" s="85"/>
      <c r="N210" s="85"/>
      <c r="O210" s="85"/>
      <c r="P210" s="85"/>
    </row>
    <row r="211" spans="1:16" ht="12.75">
      <c r="A211" s="85"/>
      <c r="B211" s="120">
        <f t="shared" si="35"/>
        <v>202</v>
      </c>
      <c r="C211" s="131">
        <f t="shared" si="36"/>
        <v>0</v>
      </c>
      <c r="D211" s="131">
        <f t="shared" si="33"/>
        <v>0</v>
      </c>
      <c r="E211" s="132">
        <f t="shared" si="37"/>
        <v>0</v>
      </c>
      <c r="F211" s="133">
        <f t="shared" si="34"/>
        <v>0</v>
      </c>
      <c r="G211" s="133">
        <f t="shared" si="32"/>
        <v>0</v>
      </c>
      <c r="H211" s="124"/>
      <c r="I211" s="84"/>
      <c r="J211" s="86"/>
      <c r="K211" s="85"/>
      <c r="L211" s="85"/>
      <c r="M211" s="85"/>
      <c r="N211" s="85"/>
      <c r="O211" s="85"/>
      <c r="P211" s="85"/>
    </row>
    <row r="212" spans="1:16" ht="12.75">
      <c r="A212" s="85"/>
      <c r="B212" s="120">
        <f t="shared" si="35"/>
        <v>203</v>
      </c>
      <c r="C212" s="131">
        <f t="shared" si="36"/>
        <v>0</v>
      </c>
      <c r="D212" s="131">
        <f t="shared" si="33"/>
        <v>0</v>
      </c>
      <c r="E212" s="132">
        <f t="shared" si="37"/>
        <v>0</v>
      </c>
      <c r="F212" s="133">
        <f t="shared" si="34"/>
        <v>0</v>
      </c>
      <c r="G212" s="133">
        <f t="shared" si="32"/>
        <v>0</v>
      </c>
      <c r="H212" s="124"/>
      <c r="I212" s="84"/>
      <c r="J212" s="86"/>
      <c r="K212" s="85"/>
      <c r="L212" s="85"/>
      <c r="M212" s="85"/>
      <c r="N212" s="85"/>
      <c r="O212" s="85"/>
      <c r="P212" s="85"/>
    </row>
    <row r="213" spans="1:16" ht="12.75">
      <c r="A213" s="85"/>
      <c r="B213" s="120">
        <f t="shared" si="35"/>
        <v>204</v>
      </c>
      <c r="C213" s="131">
        <f t="shared" si="36"/>
        <v>0</v>
      </c>
      <c r="D213" s="131">
        <f t="shared" si="33"/>
        <v>0</v>
      </c>
      <c r="E213" s="132">
        <f t="shared" si="37"/>
        <v>0</v>
      </c>
      <c r="F213" s="133">
        <f t="shared" si="34"/>
        <v>0</v>
      </c>
      <c r="G213" s="133">
        <f t="shared" si="32"/>
        <v>0</v>
      </c>
      <c r="H213" s="124"/>
      <c r="I213" s="84"/>
      <c r="J213" s="86"/>
      <c r="K213" s="85"/>
      <c r="L213" s="85"/>
      <c r="M213" s="85"/>
      <c r="N213" s="85"/>
      <c r="O213" s="85"/>
      <c r="P213" s="85"/>
    </row>
    <row r="214" spans="1:16" ht="12.75">
      <c r="A214" s="85"/>
      <c r="B214" s="120">
        <f t="shared" si="35"/>
        <v>205</v>
      </c>
      <c r="C214" s="131">
        <f t="shared" si="36"/>
        <v>0</v>
      </c>
      <c r="D214" s="131">
        <f t="shared" si="33"/>
        <v>0</v>
      </c>
      <c r="E214" s="132">
        <f t="shared" si="37"/>
        <v>0</v>
      </c>
      <c r="F214" s="133">
        <f t="shared" si="34"/>
        <v>0</v>
      </c>
      <c r="G214" s="133">
        <f t="shared" si="32"/>
        <v>0</v>
      </c>
      <c r="H214" s="124"/>
      <c r="I214" s="84"/>
      <c r="J214" s="86"/>
      <c r="K214" s="85"/>
      <c r="L214" s="85"/>
      <c r="M214" s="85"/>
      <c r="N214" s="85"/>
      <c r="O214" s="85"/>
      <c r="P214" s="85"/>
    </row>
    <row r="215" spans="1:16" ht="12.75">
      <c r="A215" s="85"/>
      <c r="B215" s="120">
        <f t="shared" si="35"/>
        <v>206</v>
      </c>
      <c r="C215" s="131">
        <f t="shared" si="36"/>
        <v>0</v>
      </c>
      <c r="D215" s="131">
        <f t="shared" si="33"/>
        <v>0</v>
      </c>
      <c r="E215" s="132">
        <f t="shared" si="37"/>
        <v>0</v>
      </c>
      <c r="F215" s="133">
        <f t="shared" si="34"/>
        <v>0</v>
      </c>
      <c r="G215" s="133">
        <f t="shared" si="32"/>
        <v>0</v>
      </c>
      <c r="H215" s="124"/>
      <c r="I215" s="84"/>
      <c r="J215" s="86"/>
      <c r="K215" s="85"/>
      <c r="L215" s="85"/>
      <c r="M215" s="85"/>
      <c r="N215" s="85"/>
      <c r="O215" s="85"/>
      <c r="P215" s="85"/>
    </row>
    <row r="216" spans="1:16" ht="12.75">
      <c r="A216" s="85"/>
      <c r="B216" s="120">
        <f t="shared" si="35"/>
        <v>207</v>
      </c>
      <c r="C216" s="131">
        <f t="shared" si="36"/>
        <v>0</v>
      </c>
      <c r="D216" s="131">
        <f t="shared" si="33"/>
        <v>0</v>
      </c>
      <c r="E216" s="132">
        <f t="shared" si="37"/>
        <v>0</v>
      </c>
      <c r="F216" s="133">
        <f t="shared" si="34"/>
        <v>0</v>
      </c>
      <c r="G216" s="133">
        <f t="shared" si="32"/>
        <v>0</v>
      </c>
      <c r="H216" s="124"/>
      <c r="I216" s="84"/>
      <c r="J216" s="86"/>
      <c r="K216" s="85"/>
      <c r="L216" s="85"/>
      <c r="M216" s="85"/>
      <c r="N216" s="85"/>
      <c r="O216" s="85"/>
      <c r="P216" s="85"/>
    </row>
    <row r="217" spans="1:16" ht="12.75">
      <c r="A217" s="85"/>
      <c r="B217" s="120">
        <f t="shared" si="35"/>
        <v>208</v>
      </c>
      <c r="C217" s="131">
        <f t="shared" si="36"/>
        <v>0</v>
      </c>
      <c r="D217" s="131">
        <f t="shared" si="33"/>
        <v>0</v>
      </c>
      <c r="E217" s="132">
        <f t="shared" si="37"/>
        <v>0</v>
      </c>
      <c r="F217" s="133">
        <f t="shared" si="34"/>
        <v>0</v>
      </c>
      <c r="G217" s="133">
        <f t="shared" si="32"/>
        <v>0</v>
      </c>
      <c r="H217" s="124"/>
      <c r="I217" s="84"/>
      <c r="J217" s="86"/>
      <c r="K217" s="85"/>
      <c r="L217" s="85"/>
      <c r="M217" s="85"/>
      <c r="N217" s="85"/>
      <c r="O217" s="85"/>
      <c r="P217" s="85"/>
    </row>
    <row r="218" spans="1:16" ht="12.75">
      <c r="A218" s="85"/>
      <c r="B218" s="120">
        <f t="shared" si="35"/>
        <v>209</v>
      </c>
      <c r="C218" s="131">
        <f t="shared" si="36"/>
        <v>0</v>
      </c>
      <c r="D218" s="131">
        <f t="shared" si="33"/>
        <v>0</v>
      </c>
      <c r="E218" s="132">
        <f t="shared" si="37"/>
        <v>0</v>
      </c>
      <c r="F218" s="133">
        <f t="shared" si="34"/>
        <v>0</v>
      </c>
      <c r="G218" s="133">
        <f t="shared" si="32"/>
        <v>0</v>
      </c>
      <c r="H218" s="124"/>
      <c r="I218" s="84"/>
      <c r="J218" s="86"/>
      <c r="K218" s="85"/>
      <c r="L218" s="85"/>
      <c r="M218" s="85"/>
      <c r="N218" s="85"/>
      <c r="O218" s="85"/>
      <c r="P218" s="85"/>
    </row>
    <row r="219" spans="1:16" ht="12.75">
      <c r="A219" s="85"/>
      <c r="B219" s="120">
        <f t="shared" si="35"/>
        <v>210</v>
      </c>
      <c r="C219" s="131">
        <f t="shared" si="36"/>
        <v>0</v>
      </c>
      <c r="D219" s="131">
        <f t="shared" si="33"/>
        <v>0</v>
      </c>
      <c r="E219" s="132">
        <f t="shared" si="37"/>
        <v>0</v>
      </c>
      <c r="F219" s="133">
        <f t="shared" si="34"/>
        <v>0</v>
      </c>
      <c r="G219" s="133">
        <f t="shared" si="32"/>
        <v>0</v>
      </c>
      <c r="H219" s="124"/>
      <c r="I219" s="84"/>
      <c r="J219" s="86"/>
      <c r="K219" s="85"/>
      <c r="L219" s="85"/>
      <c r="M219" s="85"/>
      <c r="N219" s="85"/>
      <c r="O219" s="85"/>
      <c r="P219" s="85"/>
    </row>
    <row r="220" spans="1:16" ht="12.75">
      <c r="A220" s="85"/>
      <c r="B220" s="120">
        <f t="shared" si="35"/>
        <v>211</v>
      </c>
      <c r="C220" s="131">
        <f t="shared" si="36"/>
        <v>0</v>
      </c>
      <c r="D220" s="131">
        <f t="shared" si="33"/>
        <v>0</v>
      </c>
      <c r="E220" s="132">
        <f t="shared" si="37"/>
        <v>0</v>
      </c>
      <c r="F220" s="133">
        <f t="shared" si="34"/>
        <v>0</v>
      </c>
      <c r="G220" s="133">
        <f t="shared" si="32"/>
        <v>0</v>
      </c>
      <c r="H220" s="124"/>
      <c r="I220" s="84"/>
      <c r="J220" s="86"/>
      <c r="K220" s="85"/>
      <c r="L220" s="85"/>
      <c r="M220" s="85"/>
      <c r="N220" s="85"/>
      <c r="O220" s="85"/>
      <c r="P220" s="85"/>
    </row>
    <row r="221" spans="1:16" ht="12.75">
      <c r="A221" s="85"/>
      <c r="B221" s="120">
        <f t="shared" si="35"/>
        <v>212</v>
      </c>
      <c r="C221" s="131">
        <f t="shared" si="36"/>
        <v>0</v>
      </c>
      <c r="D221" s="131">
        <f t="shared" si="33"/>
        <v>0</v>
      </c>
      <c r="E221" s="132">
        <f t="shared" si="37"/>
        <v>0</v>
      </c>
      <c r="F221" s="133">
        <f t="shared" si="34"/>
        <v>0</v>
      </c>
      <c r="G221" s="133">
        <f t="shared" si="32"/>
        <v>0</v>
      </c>
      <c r="H221" s="124"/>
      <c r="I221" s="84"/>
      <c r="J221" s="86"/>
      <c r="K221" s="85"/>
      <c r="L221" s="85"/>
      <c r="M221" s="85"/>
      <c r="N221" s="85"/>
      <c r="O221" s="85"/>
      <c r="P221" s="85"/>
    </row>
    <row r="222" spans="1:16" ht="12.75">
      <c r="A222" s="85"/>
      <c r="B222" s="120">
        <f t="shared" si="35"/>
        <v>213</v>
      </c>
      <c r="C222" s="131">
        <f t="shared" si="36"/>
        <v>0</v>
      </c>
      <c r="D222" s="131">
        <f t="shared" si="33"/>
        <v>0</v>
      </c>
      <c r="E222" s="132">
        <f t="shared" si="37"/>
        <v>0</v>
      </c>
      <c r="F222" s="133">
        <f t="shared" si="34"/>
        <v>0</v>
      </c>
      <c r="G222" s="133">
        <f aca="true" t="shared" si="38" ref="G222:G253">G221+D222</f>
        <v>0</v>
      </c>
      <c r="H222" s="124"/>
      <c r="I222" s="84"/>
      <c r="J222" s="86"/>
      <c r="K222" s="85"/>
      <c r="L222" s="85"/>
      <c r="M222" s="85"/>
      <c r="N222" s="85"/>
      <c r="O222" s="85"/>
      <c r="P222" s="85"/>
    </row>
    <row r="223" spans="1:16" ht="12.75">
      <c r="A223" s="85"/>
      <c r="B223" s="120">
        <f t="shared" si="35"/>
        <v>214</v>
      </c>
      <c r="C223" s="131">
        <f t="shared" si="36"/>
        <v>0</v>
      </c>
      <c r="D223" s="131">
        <f t="shared" si="33"/>
        <v>0</v>
      </c>
      <c r="E223" s="132">
        <f t="shared" si="37"/>
        <v>0</v>
      </c>
      <c r="F223" s="133">
        <f t="shared" si="34"/>
        <v>0</v>
      </c>
      <c r="G223" s="133">
        <f t="shared" si="38"/>
        <v>0</v>
      </c>
      <c r="H223" s="124"/>
      <c r="I223" s="84"/>
      <c r="J223" s="86"/>
      <c r="K223" s="85"/>
      <c r="L223" s="85"/>
      <c r="M223" s="85"/>
      <c r="N223" s="85"/>
      <c r="O223" s="85"/>
      <c r="P223" s="85"/>
    </row>
    <row r="224" spans="1:16" ht="12.75">
      <c r="A224" s="85"/>
      <c r="B224" s="120">
        <f t="shared" si="35"/>
        <v>215</v>
      </c>
      <c r="C224" s="131">
        <f t="shared" si="36"/>
        <v>0</v>
      </c>
      <c r="D224" s="131">
        <f t="shared" si="33"/>
        <v>0</v>
      </c>
      <c r="E224" s="132">
        <f t="shared" si="37"/>
        <v>0</v>
      </c>
      <c r="F224" s="133">
        <f t="shared" si="34"/>
        <v>0</v>
      </c>
      <c r="G224" s="133">
        <f t="shared" si="38"/>
        <v>0</v>
      </c>
      <c r="H224" s="124"/>
      <c r="I224" s="84"/>
      <c r="J224" s="86"/>
      <c r="K224" s="85"/>
      <c r="L224" s="85"/>
      <c r="M224" s="85"/>
      <c r="N224" s="85"/>
      <c r="O224" s="85"/>
      <c r="P224" s="85"/>
    </row>
    <row r="225" spans="1:16" ht="12.75">
      <c r="A225" s="85"/>
      <c r="B225" s="120">
        <f t="shared" si="35"/>
        <v>216</v>
      </c>
      <c r="C225" s="131">
        <f t="shared" si="36"/>
        <v>0</v>
      </c>
      <c r="D225" s="131">
        <f t="shared" si="33"/>
        <v>0</v>
      </c>
      <c r="E225" s="132">
        <f t="shared" si="37"/>
        <v>0</v>
      </c>
      <c r="F225" s="133">
        <f t="shared" si="34"/>
        <v>0</v>
      </c>
      <c r="G225" s="133">
        <f t="shared" si="38"/>
        <v>0</v>
      </c>
      <c r="H225" s="124"/>
      <c r="I225" s="84"/>
      <c r="J225" s="86"/>
      <c r="K225" s="85"/>
      <c r="L225" s="85"/>
      <c r="M225" s="85"/>
      <c r="N225" s="85"/>
      <c r="O225" s="85"/>
      <c r="P225" s="85"/>
    </row>
    <row r="226" spans="1:16" ht="12.75">
      <c r="A226" s="85"/>
      <c r="B226" s="120">
        <f t="shared" si="35"/>
        <v>217</v>
      </c>
      <c r="C226" s="131">
        <f t="shared" si="36"/>
        <v>0</v>
      </c>
      <c r="D226" s="131">
        <f t="shared" si="33"/>
        <v>0</v>
      </c>
      <c r="E226" s="132">
        <f t="shared" si="37"/>
        <v>0</v>
      </c>
      <c r="F226" s="133">
        <f t="shared" si="34"/>
        <v>0</v>
      </c>
      <c r="G226" s="133">
        <f t="shared" si="38"/>
        <v>0</v>
      </c>
      <c r="H226" s="124"/>
      <c r="I226" s="84"/>
      <c r="J226" s="86"/>
      <c r="K226" s="85"/>
      <c r="L226" s="85"/>
      <c r="M226" s="85"/>
      <c r="N226" s="85"/>
      <c r="O226" s="85"/>
      <c r="P226" s="85"/>
    </row>
    <row r="227" spans="1:16" ht="12.75">
      <c r="A227" s="85"/>
      <c r="B227" s="120">
        <f t="shared" si="35"/>
        <v>218</v>
      </c>
      <c r="C227" s="131">
        <f t="shared" si="36"/>
        <v>0</v>
      </c>
      <c r="D227" s="131">
        <f t="shared" si="33"/>
        <v>0</v>
      </c>
      <c r="E227" s="132">
        <f t="shared" si="37"/>
        <v>0</v>
      </c>
      <c r="F227" s="133">
        <f t="shared" si="34"/>
        <v>0</v>
      </c>
      <c r="G227" s="133">
        <f t="shared" si="38"/>
        <v>0</v>
      </c>
      <c r="H227" s="124"/>
      <c r="I227" s="84"/>
      <c r="J227" s="86"/>
      <c r="K227" s="85"/>
      <c r="L227" s="85"/>
      <c r="M227" s="85"/>
      <c r="N227" s="85"/>
      <c r="O227" s="85"/>
      <c r="P227" s="85"/>
    </row>
    <row r="228" spans="1:16" ht="12.75">
      <c r="A228" s="85"/>
      <c r="B228" s="120">
        <f t="shared" si="35"/>
        <v>219</v>
      </c>
      <c r="C228" s="131">
        <f t="shared" si="36"/>
        <v>0</v>
      </c>
      <c r="D228" s="131">
        <f t="shared" si="33"/>
        <v>0</v>
      </c>
      <c r="E228" s="132">
        <f t="shared" si="37"/>
        <v>0</v>
      </c>
      <c r="F228" s="133">
        <f t="shared" si="34"/>
        <v>0</v>
      </c>
      <c r="G228" s="133">
        <f t="shared" si="38"/>
        <v>0</v>
      </c>
      <c r="H228" s="124"/>
      <c r="I228" s="84"/>
      <c r="J228" s="86"/>
      <c r="K228" s="85"/>
      <c r="L228" s="85"/>
      <c r="M228" s="85"/>
      <c r="N228" s="85"/>
      <c r="O228" s="85"/>
      <c r="P228" s="85"/>
    </row>
    <row r="229" spans="1:16" ht="12.75">
      <c r="A229" s="85"/>
      <c r="B229" s="120">
        <f t="shared" si="35"/>
        <v>220</v>
      </c>
      <c r="C229" s="131">
        <f t="shared" si="36"/>
        <v>0</v>
      </c>
      <c r="D229" s="131">
        <f t="shared" si="33"/>
        <v>0</v>
      </c>
      <c r="E229" s="132">
        <f t="shared" si="37"/>
        <v>0</v>
      </c>
      <c r="F229" s="133">
        <f t="shared" si="34"/>
        <v>0</v>
      </c>
      <c r="G229" s="133">
        <f t="shared" si="38"/>
        <v>0</v>
      </c>
      <c r="H229" s="124"/>
      <c r="I229" s="84"/>
      <c r="J229" s="86"/>
      <c r="K229" s="85"/>
      <c r="L229" s="85"/>
      <c r="M229" s="85"/>
      <c r="N229" s="85"/>
      <c r="O229" s="85"/>
      <c r="P229" s="85"/>
    </row>
    <row r="230" spans="1:16" ht="12.75">
      <c r="A230" s="85"/>
      <c r="B230" s="120">
        <f t="shared" si="35"/>
        <v>221</v>
      </c>
      <c r="C230" s="131">
        <f t="shared" si="36"/>
        <v>0</v>
      </c>
      <c r="D230" s="131">
        <f t="shared" si="33"/>
        <v>0</v>
      </c>
      <c r="E230" s="132">
        <f t="shared" si="37"/>
        <v>0</v>
      </c>
      <c r="F230" s="133">
        <f t="shared" si="34"/>
        <v>0</v>
      </c>
      <c r="G230" s="133">
        <f t="shared" si="38"/>
        <v>0</v>
      </c>
      <c r="H230" s="124"/>
      <c r="I230" s="84"/>
      <c r="J230" s="86"/>
      <c r="K230" s="85"/>
      <c r="L230" s="85"/>
      <c r="M230" s="85"/>
      <c r="N230" s="85"/>
      <c r="O230" s="85"/>
      <c r="P230" s="85"/>
    </row>
    <row r="231" spans="1:16" ht="12.75">
      <c r="A231" s="85"/>
      <c r="B231" s="120">
        <f t="shared" si="35"/>
        <v>222</v>
      </c>
      <c r="C231" s="131">
        <f t="shared" si="36"/>
        <v>0</v>
      </c>
      <c r="D231" s="131">
        <f t="shared" si="33"/>
        <v>0</v>
      </c>
      <c r="E231" s="132">
        <f t="shared" si="37"/>
        <v>0</v>
      </c>
      <c r="F231" s="133">
        <f t="shared" si="34"/>
        <v>0</v>
      </c>
      <c r="G231" s="133">
        <f t="shared" si="38"/>
        <v>0</v>
      </c>
      <c r="H231" s="124"/>
      <c r="I231" s="84"/>
      <c r="J231" s="86"/>
      <c r="K231" s="85"/>
      <c r="L231" s="85"/>
      <c r="M231" s="85"/>
      <c r="N231" s="85"/>
      <c r="O231" s="85"/>
      <c r="P231" s="85"/>
    </row>
    <row r="232" spans="1:16" ht="12.75">
      <c r="A232" s="85"/>
      <c r="B232" s="120">
        <f t="shared" si="35"/>
        <v>223</v>
      </c>
      <c r="C232" s="131">
        <f t="shared" si="36"/>
        <v>0</v>
      </c>
      <c r="D232" s="131">
        <f t="shared" si="33"/>
        <v>0</v>
      </c>
      <c r="E232" s="132">
        <f t="shared" si="37"/>
        <v>0</v>
      </c>
      <c r="F232" s="133">
        <f t="shared" si="34"/>
        <v>0</v>
      </c>
      <c r="G232" s="133">
        <f t="shared" si="38"/>
        <v>0</v>
      </c>
      <c r="H232" s="124"/>
      <c r="I232" s="84"/>
      <c r="J232" s="86"/>
      <c r="K232" s="85"/>
      <c r="L232" s="85"/>
      <c r="M232" s="85"/>
      <c r="N232" s="85"/>
      <c r="O232" s="85"/>
      <c r="P232" s="85"/>
    </row>
    <row r="233" spans="1:16" ht="12.75">
      <c r="A233" s="85"/>
      <c r="B233" s="120">
        <f t="shared" si="35"/>
        <v>224</v>
      </c>
      <c r="C233" s="131">
        <f t="shared" si="36"/>
        <v>0</v>
      </c>
      <c r="D233" s="131">
        <f t="shared" si="33"/>
        <v>0</v>
      </c>
      <c r="E233" s="132">
        <f t="shared" si="37"/>
        <v>0</v>
      </c>
      <c r="F233" s="133">
        <f t="shared" si="34"/>
        <v>0</v>
      </c>
      <c r="G233" s="133">
        <f t="shared" si="38"/>
        <v>0</v>
      </c>
      <c r="H233" s="124"/>
      <c r="I233" s="84"/>
      <c r="J233" s="86"/>
      <c r="K233" s="85"/>
      <c r="L233" s="85"/>
      <c r="M233" s="85"/>
      <c r="N233" s="85"/>
      <c r="O233" s="85"/>
      <c r="P233" s="85"/>
    </row>
    <row r="234" spans="1:16" ht="12.75">
      <c r="A234" s="85"/>
      <c r="B234" s="120">
        <f t="shared" si="35"/>
        <v>225</v>
      </c>
      <c r="C234" s="131">
        <f t="shared" si="36"/>
        <v>0</v>
      </c>
      <c r="D234" s="131">
        <f t="shared" si="33"/>
        <v>0</v>
      </c>
      <c r="E234" s="132">
        <f t="shared" si="37"/>
        <v>0</v>
      </c>
      <c r="F234" s="133">
        <f t="shared" si="34"/>
        <v>0</v>
      </c>
      <c r="G234" s="133">
        <f t="shared" si="38"/>
        <v>0</v>
      </c>
      <c r="H234" s="124"/>
      <c r="I234" s="84"/>
      <c r="J234" s="86"/>
      <c r="K234" s="85"/>
      <c r="L234" s="85"/>
      <c r="M234" s="85"/>
      <c r="N234" s="85"/>
      <c r="O234" s="85"/>
      <c r="P234" s="85"/>
    </row>
    <row r="235" spans="1:16" ht="12.75">
      <c r="A235" s="85"/>
      <c r="B235" s="120">
        <f t="shared" si="35"/>
        <v>226</v>
      </c>
      <c r="C235" s="131">
        <f t="shared" si="36"/>
        <v>0</v>
      </c>
      <c r="D235" s="131">
        <f t="shared" si="33"/>
        <v>0</v>
      </c>
      <c r="E235" s="132">
        <f t="shared" si="37"/>
        <v>0</v>
      </c>
      <c r="F235" s="133">
        <f t="shared" si="34"/>
        <v>0</v>
      </c>
      <c r="G235" s="133">
        <f t="shared" si="38"/>
        <v>0</v>
      </c>
      <c r="H235" s="124"/>
      <c r="I235" s="84"/>
      <c r="J235" s="86"/>
      <c r="K235" s="85"/>
      <c r="L235" s="85"/>
      <c r="M235" s="85"/>
      <c r="N235" s="85"/>
      <c r="O235" s="85"/>
      <c r="P235" s="85"/>
    </row>
    <row r="236" spans="1:16" ht="12.75">
      <c r="A236" s="85"/>
      <c r="B236" s="120">
        <f t="shared" si="35"/>
        <v>227</v>
      </c>
      <c r="C236" s="131">
        <f t="shared" si="36"/>
        <v>0</v>
      </c>
      <c r="D236" s="131">
        <f t="shared" si="33"/>
        <v>0</v>
      </c>
      <c r="E236" s="132">
        <f t="shared" si="37"/>
        <v>0</v>
      </c>
      <c r="F236" s="133">
        <f t="shared" si="34"/>
        <v>0</v>
      </c>
      <c r="G236" s="133">
        <f t="shared" si="38"/>
        <v>0</v>
      </c>
      <c r="H236" s="124"/>
      <c r="I236" s="84"/>
      <c r="J236" s="86"/>
      <c r="K236" s="85"/>
      <c r="L236" s="85"/>
      <c r="M236" s="85"/>
      <c r="N236" s="85"/>
      <c r="O236" s="85"/>
      <c r="P236" s="85"/>
    </row>
    <row r="237" spans="1:16" ht="12.75">
      <c r="A237" s="85"/>
      <c r="B237" s="120">
        <f t="shared" si="35"/>
        <v>228</v>
      </c>
      <c r="C237" s="131">
        <f t="shared" si="36"/>
        <v>0</v>
      </c>
      <c r="D237" s="131">
        <f t="shared" si="33"/>
        <v>0</v>
      </c>
      <c r="E237" s="132">
        <f t="shared" si="37"/>
        <v>0</v>
      </c>
      <c r="F237" s="133">
        <f t="shared" si="34"/>
        <v>0</v>
      </c>
      <c r="G237" s="133">
        <f t="shared" si="38"/>
        <v>0</v>
      </c>
      <c r="H237" s="124"/>
      <c r="I237" s="84"/>
      <c r="J237" s="86"/>
      <c r="K237" s="85"/>
      <c r="L237" s="85"/>
      <c r="M237" s="85"/>
      <c r="N237" s="85"/>
      <c r="O237" s="85"/>
      <c r="P237" s="85"/>
    </row>
    <row r="238" spans="1:16" ht="12.75">
      <c r="A238" s="85"/>
      <c r="B238" s="120">
        <f t="shared" si="35"/>
        <v>229</v>
      </c>
      <c r="C238" s="131">
        <f t="shared" si="36"/>
        <v>0</v>
      </c>
      <c r="D238" s="131">
        <f t="shared" si="33"/>
        <v>0</v>
      </c>
      <c r="E238" s="132">
        <f t="shared" si="37"/>
        <v>0</v>
      </c>
      <c r="F238" s="133">
        <f t="shared" si="34"/>
        <v>0</v>
      </c>
      <c r="G238" s="133">
        <f t="shared" si="38"/>
        <v>0</v>
      </c>
      <c r="H238" s="124"/>
      <c r="I238" s="84"/>
      <c r="J238" s="86"/>
      <c r="K238" s="85"/>
      <c r="L238" s="85"/>
      <c r="M238" s="85"/>
      <c r="N238" s="85"/>
      <c r="O238" s="85"/>
      <c r="P238" s="85"/>
    </row>
    <row r="239" spans="1:16" ht="12.75">
      <c r="A239" s="85"/>
      <c r="B239" s="120">
        <f t="shared" si="35"/>
        <v>230</v>
      </c>
      <c r="C239" s="131">
        <f t="shared" si="36"/>
        <v>0</v>
      </c>
      <c r="D239" s="131">
        <f t="shared" si="33"/>
        <v>0</v>
      </c>
      <c r="E239" s="132">
        <f t="shared" si="37"/>
        <v>0</v>
      </c>
      <c r="F239" s="133">
        <f t="shared" si="34"/>
        <v>0</v>
      </c>
      <c r="G239" s="133">
        <f t="shared" si="38"/>
        <v>0</v>
      </c>
      <c r="H239" s="124"/>
      <c r="I239" s="84"/>
      <c r="J239" s="86"/>
      <c r="K239" s="85"/>
      <c r="L239" s="85"/>
      <c r="M239" s="85"/>
      <c r="N239" s="85"/>
      <c r="O239" s="85"/>
      <c r="P239" s="85"/>
    </row>
    <row r="240" spans="1:16" ht="12.75">
      <c r="A240" s="85"/>
      <c r="B240" s="120">
        <f t="shared" si="35"/>
        <v>231</v>
      </c>
      <c r="C240" s="131">
        <f t="shared" si="36"/>
        <v>0</v>
      </c>
      <c r="D240" s="131">
        <f t="shared" si="33"/>
        <v>0</v>
      </c>
      <c r="E240" s="132">
        <f t="shared" si="37"/>
        <v>0</v>
      </c>
      <c r="F240" s="133">
        <f t="shared" si="34"/>
        <v>0</v>
      </c>
      <c r="G240" s="133">
        <f t="shared" si="38"/>
        <v>0</v>
      </c>
      <c r="H240" s="124"/>
      <c r="I240" s="84"/>
      <c r="J240" s="86"/>
      <c r="K240" s="85"/>
      <c r="L240" s="85"/>
      <c r="M240" s="85"/>
      <c r="N240" s="85"/>
      <c r="O240" s="85"/>
      <c r="P240" s="85"/>
    </row>
    <row r="241" spans="1:16" ht="12.75">
      <c r="A241" s="85"/>
      <c r="B241" s="120">
        <f t="shared" si="35"/>
        <v>232</v>
      </c>
      <c r="C241" s="131">
        <f t="shared" si="36"/>
        <v>0</v>
      </c>
      <c r="D241" s="131">
        <f t="shared" si="33"/>
        <v>0</v>
      </c>
      <c r="E241" s="132">
        <f t="shared" si="37"/>
        <v>0</v>
      </c>
      <c r="F241" s="133">
        <f t="shared" si="34"/>
        <v>0</v>
      </c>
      <c r="G241" s="133">
        <f t="shared" si="38"/>
        <v>0</v>
      </c>
      <c r="H241" s="124"/>
      <c r="I241" s="84"/>
      <c r="J241" s="86"/>
      <c r="K241" s="85"/>
      <c r="L241" s="85"/>
      <c r="M241" s="85"/>
      <c r="N241" s="85"/>
      <c r="O241" s="85"/>
      <c r="P241" s="85"/>
    </row>
    <row r="242" spans="1:16" ht="12.75">
      <c r="A242" s="85"/>
      <c r="B242" s="120">
        <f t="shared" si="35"/>
        <v>233</v>
      </c>
      <c r="C242" s="131">
        <f t="shared" si="36"/>
        <v>0</v>
      </c>
      <c r="D242" s="131">
        <f t="shared" si="33"/>
        <v>0</v>
      </c>
      <c r="E242" s="132">
        <f t="shared" si="37"/>
        <v>0</v>
      </c>
      <c r="F242" s="133">
        <f t="shared" si="34"/>
        <v>0</v>
      </c>
      <c r="G242" s="133">
        <f t="shared" si="38"/>
        <v>0</v>
      </c>
      <c r="H242" s="124"/>
      <c r="I242" s="84"/>
      <c r="J242" s="86"/>
      <c r="K242" s="85"/>
      <c r="L242" s="85"/>
      <c r="M242" s="85"/>
      <c r="N242" s="85"/>
      <c r="O242" s="85"/>
      <c r="P242" s="85"/>
    </row>
    <row r="243" spans="1:16" ht="12.75">
      <c r="A243" s="85"/>
      <c r="B243" s="120">
        <f t="shared" si="35"/>
        <v>234</v>
      </c>
      <c r="C243" s="131">
        <f t="shared" si="36"/>
        <v>0</v>
      </c>
      <c r="D243" s="131">
        <f t="shared" si="33"/>
        <v>0</v>
      </c>
      <c r="E243" s="132">
        <f t="shared" si="37"/>
        <v>0</v>
      </c>
      <c r="F243" s="133">
        <f t="shared" si="34"/>
        <v>0</v>
      </c>
      <c r="G243" s="133">
        <f t="shared" si="38"/>
        <v>0</v>
      </c>
      <c r="H243" s="124"/>
      <c r="I243" s="84"/>
      <c r="J243" s="86"/>
      <c r="K243" s="85"/>
      <c r="L243" s="85"/>
      <c r="M243" s="85"/>
      <c r="N243" s="85"/>
      <c r="O243" s="85"/>
      <c r="P243" s="85"/>
    </row>
    <row r="244" spans="1:16" ht="12.75">
      <c r="A244" s="85"/>
      <c r="B244" s="120">
        <f t="shared" si="35"/>
        <v>235</v>
      </c>
      <c r="C244" s="131">
        <f t="shared" si="36"/>
        <v>0</v>
      </c>
      <c r="D244" s="131">
        <f t="shared" si="33"/>
        <v>0</v>
      </c>
      <c r="E244" s="132">
        <f t="shared" si="37"/>
        <v>0</v>
      </c>
      <c r="F244" s="133">
        <f t="shared" si="34"/>
        <v>0</v>
      </c>
      <c r="G244" s="133">
        <f t="shared" si="38"/>
        <v>0</v>
      </c>
      <c r="H244" s="124"/>
      <c r="I244" s="84"/>
      <c r="J244" s="86"/>
      <c r="K244" s="85"/>
      <c r="L244" s="85"/>
      <c r="M244" s="85"/>
      <c r="N244" s="85"/>
      <c r="O244" s="85"/>
      <c r="P244" s="85"/>
    </row>
    <row r="245" spans="1:16" ht="12.75">
      <c r="A245" s="85"/>
      <c r="B245" s="120">
        <f t="shared" si="35"/>
        <v>236</v>
      </c>
      <c r="C245" s="131">
        <f t="shared" si="36"/>
        <v>0</v>
      </c>
      <c r="D245" s="131">
        <f t="shared" si="33"/>
        <v>0</v>
      </c>
      <c r="E245" s="132">
        <f t="shared" si="37"/>
        <v>0</v>
      </c>
      <c r="F245" s="133">
        <f t="shared" si="34"/>
        <v>0</v>
      </c>
      <c r="G245" s="133">
        <f t="shared" si="38"/>
        <v>0</v>
      </c>
      <c r="H245" s="124"/>
      <c r="I245" s="84"/>
      <c r="J245" s="86"/>
      <c r="K245" s="85"/>
      <c r="L245" s="85"/>
      <c r="M245" s="85"/>
      <c r="N245" s="85"/>
      <c r="O245" s="85"/>
      <c r="P245" s="85"/>
    </row>
    <row r="246" spans="1:16" ht="12.75">
      <c r="A246" s="85"/>
      <c r="B246" s="120">
        <f t="shared" si="35"/>
        <v>237</v>
      </c>
      <c r="C246" s="131">
        <f t="shared" si="36"/>
        <v>0</v>
      </c>
      <c r="D246" s="131">
        <f t="shared" si="33"/>
        <v>0</v>
      </c>
      <c r="E246" s="132">
        <f t="shared" si="37"/>
        <v>0</v>
      </c>
      <c r="F246" s="133">
        <f t="shared" si="34"/>
        <v>0</v>
      </c>
      <c r="G246" s="133">
        <f t="shared" si="38"/>
        <v>0</v>
      </c>
      <c r="H246" s="124"/>
      <c r="I246" s="84"/>
      <c r="J246" s="86"/>
      <c r="K246" s="85"/>
      <c r="L246" s="85"/>
      <c r="M246" s="85"/>
      <c r="N246" s="85"/>
      <c r="O246" s="85"/>
      <c r="P246" s="85"/>
    </row>
    <row r="247" spans="1:16" ht="12.75">
      <c r="A247" s="85"/>
      <c r="B247" s="120">
        <f t="shared" si="35"/>
        <v>238</v>
      </c>
      <c r="C247" s="131">
        <f t="shared" si="36"/>
        <v>0</v>
      </c>
      <c r="D247" s="131">
        <f t="shared" si="33"/>
        <v>0</v>
      </c>
      <c r="E247" s="132">
        <f t="shared" si="37"/>
        <v>0</v>
      </c>
      <c r="F247" s="133">
        <f t="shared" si="34"/>
        <v>0</v>
      </c>
      <c r="G247" s="133">
        <f t="shared" si="38"/>
        <v>0</v>
      </c>
      <c r="H247" s="124"/>
      <c r="I247" s="84"/>
      <c r="J247" s="86"/>
      <c r="K247" s="85"/>
      <c r="L247" s="85"/>
      <c r="M247" s="85"/>
      <c r="N247" s="85"/>
      <c r="O247" s="85"/>
      <c r="P247" s="85"/>
    </row>
    <row r="248" spans="1:16" ht="12.75">
      <c r="A248" s="85"/>
      <c r="B248" s="120">
        <f t="shared" si="35"/>
        <v>239</v>
      </c>
      <c r="C248" s="131">
        <f t="shared" si="36"/>
        <v>0</v>
      </c>
      <c r="D248" s="131">
        <f t="shared" si="33"/>
        <v>0</v>
      </c>
      <c r="E248" s="132">
        <f t="shared" si="37"/>
        <v>0</v>
      </c>
      <c r="F248" s="133">
        <f t="shared" si="34"/>
        <v>0</v>
      </c>
      <c r="G248" s="133">
        <f t="shared" si="38"/>
        <v>0</v>
      </c>
      <c r="H248" s="124"/>
      <c r="I248" s="84"/>
      <c r="J248" s="86"/>
      <c r="K248" s="85"/>
      <c r="L248" s="85"/>
      <c r="M248" s="85"/>
      <c r="N248" s="85"/>
      <c r="O248" s="85"/>
      <c r="P248" s="85"/>
    </row>
    <row r="249" spans="1:16" ht="12.75">
      <c r="A249" s="85"/>
      <c r="B249" s="120">
        <f t="shared" si="35"/>
        <v>240</v>
      </c>
      <c r="C249" s="131">
        <f t="shared" si="36"/>
        <v>0</v>
      </c>
      <c r="D249" s="131">
        <f t="shared" si="33"/>
        <v>0</v>
      </c>
      <c r="E249" s="132">
        <f t="shared" si="37"/>
        <v>0</v>
      </c>
      <c r="F249" s="133">
        <f t="shared" si="34"/>
        <v>0</v>
      </c>
      <c r="G249" s="133">
        <f t="shared" si="38"/>
        <v>0</v>
      </c>
      <c r="H249" s="124"/>
      <c r="I249" s="84"/>
      <c r="J249" s="86"/>
      <c r="K249" s="85"/>
      <c r="L249" s="85"/>
      <c r="M249" s="85"/>
      <c r="N249" s="85"/>
      <c r="O249" s="85"/>
      <c r="P249" s="85"/>
    </row>
    <row r="250" spans="1:16" ht="12.75">
      <c r="A250" s="85"/>
      <c r="B250" s="120">
        <f t="shared" si="35"/>
        <v>241</v>
      </c>
      <c r="C250" s="131">
        <f t="shared" si="36"/>
        <v>0</v>
      </c>
      <c r="D250" s="131">
        <f t="shared" si="33"/>
        <v>0</v>
      </c>
      <c r="E250" s="132">
        <f t="shared" si="37"/>
        <v>0</v>
      </c>
      <c r="F250" s="133">
        <f t="shared" si="34"/>
        <v>0</v>
      </c>
      <c r="G250" s="133">
        <f t="shared" si="38"/>
        <v>0</v>
      </c>
      <c r="H250" s="124"/>
      <c r="I250" s="84"/>
      <c r="J250" s="86"/>
      <c r="K250" s="85"/>
      <c r="L250" s="85"/>
      <c r="M250" s="85"/>
      <c r="N250" s="85"/>
      <c r="O250" s="85"/>
      <c r="P250" s="85"/>
    </row>
    <row r="251" spans="1:16" ht="12.75">
      <c r="A251" s="85"/>
      <c r="B251" s="120">
        <f t="shared" si="35"/>
        <v>242</v>
      </c>
      <c r="C251" s="131">
        <f t="shared" si="36"/>
        <v>0</v>
      </c>
      <c r="D251" s="131">
        <f t="shared" si="33"/>
        <v>0</v>
      </c>
      <c r="E251" s="132">
        <f t="shared" si="37"/>
        <v>0</v>
      </c>
      <c r="F251" s="133">
        <f t="shared" si="34"/>
        <v>0</v>
      </c>
      <c r="G251" s="133">
        <f t="shared" si="38"/>
        <v>0</v>
      </c>
      <c r="H251" s="124"/>
      <c r="I251" s="84"/>
      <c r="J251" s="86"/>
      <c r="K251" s="85"/>
      <c r="L251" s="85"/>
      <c r="M251" s="85"/>
      <c r="N251" s="85"/>
      <c r="O251" s="85"/>
      <c r="P251" s="85"/>
    </row>
    <row r="252" spans="1:16" ht="12.75">
      <c r="A252" s="85"/>
      <c r="B252" s="120">
        <f t="shared" si="35"/>
        <v>243</v>
      </c>
      <c r="C252" s="131">
        <f t="shared" si="36"/>
        <v>0</v>
      </c>
      <c r="D252" s="131">
        <f t="shared" si="33"/>
        <v>0</v>
      </c>
      <c r="E252" s="132">
        <f t="shared" si="37"/>
        <v>0</v>
      </c>
      <c r="F252" s="133">
        <f t="shared" si="34"/>
        <v>0</v>
      </c>
      <c r="G252" s="133">
        <f t="shared" si="38"/>
        <v>0</v>
      </c>
      <c r="H252" s="124"/>
      <c r="I252" s="84"/>
      <c r="J252" s="86"/>
      <c r="K252" s="85"/>
      <c r="L252" s="85"/>
      <c r="M252" s="85"/>
      <c r="N252" s="85"/>
      <c r="O252" s="85"/>
      <c r="P252" s="85"/>
    </row>
    <row r="253" spans="1:16" ht="12.75">
      <c r="A253" s="85"/>
      <c r="B253" s="120">
        <f t="shared" si="35"/>
        <v>244</v>
      </c>
      <c r="C253" s="131">
        <f t="shared" si="36"/>
        <v>0</v>
      </c>
      <c r="D253" s="131">
        <f t="shared" si="33"/>
        <v>0</v>
      </c>
      <c r="E253" s="132">
        <f t="shared" si="37"/>
        <v>0</v>
      </c>
      <c r="F253" s="133">
        <f t="shared" si="34"/>
        <v>0</v>
      </c>
      <c r="G253" s="133">
        <f t="shared" si="38"/>
        <v>0</v>
      </c>
      <c r="H253" s="124"/>
      <c r="I253" s="84"/>
      <c r="J253" s="86"/>
      <c r="K253" s="85"/>
      <c r="L253" s="85"/>
      <c r="M253" s="85"/>
      <c r="N253" s="85"/>
      <c r="O253" s="85"/>
      <c r="P253" s="85"/>
    </row>
    <row r="254" spans="1:16" ht="12.75">
      <c r="A254" s="85"/>
      <c r="B254" s="120">
        <f t="shared" si="35"/>
        <v>245</v>
      </c>
      <c r="C254" s="131">
        <f t="shared" si="36"/>
        <v>0</v>
      </c>
      <c r="D254" s="131">
        <f t="shared" si="33"/>
        <v>0</v>
      </c>
      <c r="E254" s="132">
        <f t="shared" si="37"/>
        <v>0</v>
      </c>
      <c r="F254" s="133">
        <f t="shared" si="34"/>
        <v>0</v>
      </c>
      <c r="G254" s="133">
        <f aca="true" t="shared" si="39" ref="G254:G285">G253+D254</f>
        <v>0</v>
      </c>
      <c r="H254" s="124"/>
      <c r="I254" s="84"/>
      <c r="J254" s="86"/>
      <c r="K254" s="85"/>
      <c r="L254" s="85"/>
      <c r="M254" s="85"/>
      <c r="N254" s="85"/>
      <c r="O254" s="85"/>
      <c r="P254" s="85"/>
    </row>
    <row r="255" spans="1:16" ht="12.75">
      <c r="A255" s="85"/>
      <c r="B255" s="120">
        <f t="shared" si="35"/>
        <v>246</v>
      </c>
      <c r="C255" s="131">
        <f t="shared" si="36"/>
        <v>0</v>
      </c>
      <c r="D255" s="131">
        <f t="shared" si="33"/>
        <v>0</v>
      </c>
      <c r="E255" s="132">
        <f t="shared" si="37"/>
        <v>0</v>
      </c>
      <c r="F255" s="133">
        <f t="shared" si="34"/>
        <v>0</v>
      </c>
      <c r="G255" s="133">
        <f t="shared" si="39"/>
        <v>0</v>
      </c>
      <c r="H255" s="124"/>
      <c r="I255" s="84"/>
      <c r="J255" s="86"/>
      <c r="K255" s="85"/>
      <c r="L255" s="85"/>
      <c r="M255" s="85"/>
      <c r="N255" s="85"/>
      <c r="O255" s="85"/>
      <c r="P255" s="85"/>
    </row>
    <row r="256" spans="1:16" ht="12.75">
      <c r="A256" s="85"/>
      <c r="B256" s="120">
        <f t="shared" si="35"/>
        <v>247</v>
      </c>
      <c r="C256" s="131">
        <f t="shared" si="36"/>
        <v>0</v>
      </c>
      <c r="D256" s="131">
        <f t="shared" si="33"/>
        <v>0</v>
      </c>
      <c r="E256" s="132">
        <f t="shared" si="37"/>
        <v>0</v>
      </c>
      <c r="F256" s="133">
        <f t="shared" si="34"/>
        <v>0</v>
      </c>
      <c r="G256" s="133">
        <f t="shared" si="39"/>
        <v>0</v>
      </c>
      <c r="H256" s="124"/>
      <c r="I256" s="84"/>
      <c r="J256" s="86"/>
      <c r="K256" s="85"/>
      <c r="L256" s="85"/>
      <c r="M256" s="85"/>
      <c r="N256" s="85"/>
      <c r="O256" s="85"/>
      <c r="P256" s="85"/>
    </row>
    <row r="257" spans="1:16" ht="12.75">
      <c r="A257" s="85"/>
      <c r="B257" s="120">
        <f t="shared" si="35"/>
        <v>248</v>
      </c>
      <c r="C257" s="131">
        <f t="shared" si="36"/>
        <v>0</v>
      </c>
      <c r="D257" s="131">
        <f t="shared" si="33"/>
        <v>0</v>
      </c>
      <c r="E257" s="132">
        <f t="shared" si="37"/>
        <v>0</v>
      </c>
      <c r="F257" s="133">
        <f t="shared" si="34"/>
        <v>0</v>
      </c>
      <c r="G257" s="133">
        <f t="shared" si="39"/>
        <v>0</v>
      </c>
      <c r="H257" s="124"/>
      <c r="I257" s="84"/>
      <c r="J257" s="86"/>
      <c r="K257" s="85"/>
      <c r="L257" s="85"/>
      <c r="M257" s="85"/>
      <c r="N257" s="85"/>
      <c r="O257" s="85"/>
      <c r="P257" s="85"/>
    </row>
    <row r="258" spans="1:16" ht="12.75">
      <c r="A258" s="85"/>
      <c r="B258" s="120">
        <f t="shared" si="35"/>
        <v>249</v>
      </c>
      <c r="C258" s="131">
        <f t="shared" si="36"/>
        <v>0</v>
      </c>
      <c r="D258" s="131">
        <f t="shared" si="33"/>
        <v>0</v>
      </c>
      <c r="E258" s="132">
        <f t="shared" si="37"/>
        <v>0</v>
      </c>
      <c r="F258" s="133">
        <f t="shared" si="34"/>
        <v>0</v>
      </c>
      <c r="G258" s="133">
        <f t="shared" si="39"/>
        <v>0</v>
      </c>
      <c r="H258" s="124"/>
      <c r="I258" s="84"/>
      <c r="J258" s="86"/>
      <c r="K258" s="85"/>
      <c r="L258" s="85"/>
      <c r="M258" s="85"/>
      <c r="N258" s="85"/>
      <c r="O258" s="85"/>
      <c r="P258" s="85"/>
    </row>
    <row r="259" spans="1:16" ht="12.75">
      <c r="A259" s="85"/>
      <c r="B259" s="120">
        <f t="shared" si="35"/>
        <v>250</v>
      </c>
      <c r="C259" s="131">
        <f t="shared" si="36"/>
        <v>0</v>
      </c>
      <c r="D259" s="131">
        <f t="shared" si="33"/>
        <v>0</v>
      </c>
      <c r="E259" s="132">
        <f t="shared" si="37"/>
        <v>0</v>
      </c>
      <c r="F259" s="133">
        <f t="shared" si="34"/>
        <v>0</v>
      </c>
      <c r="G259" s="133">
        <f t="shared" si="39"/>
        <v>0</v>
      </c>
      <c r="H259" s="124"/>
      <c r="I259" s="84"/>
      <c r="J259" s="86"/>
      <c r="K259" s="85"/>
      <c r="L259" s="85"/>
      <c r="M259" s="85"/>
      <c r="N259" s="85"/>
      <c r="O259" s="85"/>
      <c r="P259" s="85"/>
    </row>
    <row r="260" spans="1:16" ht="12.75">
      <c r="A260" s="85"/>
      <c r="B260" s="120">
        <f t="shared" si="35"/>
        <v>251</v>
      </c>
      <c r="C260" s="131">
        <f t="shared" si="36"/>
        <v>0</v>
      </c>
      <c r="D260" s="131">
        <f t="shared" si="33"/>
        <v>0</v>
      </c>
      <c r="E260" s="132">
        <f t="shared" si="37"/>
        <v>0</v>
      </c>
      <c r="F260" s="133">
        <f t="shared" si="34"/>
        <v>0</v>
      </c>
      <c r="G260" s="133">
        <f t="shared" si="39"/>
        <v>0</v>
      </c>
      <c r="H260" s="124"/>
      <c r="I260" s="84"/>
      <c r="J260" s="86"/>
      <c r="K260" s="85"/>
      <c r="L260" s="85"/>
      <c r="M260" s="85"/>
      <c r="N260" s="85"/>
      <c r="O260" s="85"/>
      <c r="P260" s="85"/>
    </row>
    <row r="261" spans="1:16" ht="12.75">
      <c r="A261" s="85"/>
      <c r="B261" s="120">
        <f t="shared" si="35"/>
        <v>252</v>
      </c>
      <c r="C261" s="131">
        <f t="shared" si="36"/>
        <v>0</v>
      </c>
      <c r="D261" s="131">
        <f t="shared" si="33"/>
        <v>0</v>
      </c>
      <c r="E261" s="132">
        <f t="shared" si="37"/>
        <v>0</v>
      </c>
      <c r="F261" s="133">
        <f t="shared" si="34"/>
        <v>0</v>
      </c>
      <c r="G261" s="133">
        <f t="shared" si="39"/>
        <v>0</v>
      </c>
      <c r="H261" s="124"/>
      <c r="I261" s="84"/>
      <c r="J261" s="86"/>
      <c r="K261" s="85"/>
      <c r="L261" s="85"/>
      <c r="M261" s="85"/>
      <c r="N261" s="85"/>
      <c r="O261" s="85"/>
      <c r="P261" s="85"/>
    </row>
    <row r="262" spans="1:16" ht="12.75">
      <c r="A262" s="85"/>
      <c r="B262" s="120">
        <f t="shared" si="35"/>
        <v>253</v>
      </c>
      <c r="C262" s="131">
        <f t="shared" si="36"/>
        <v>0</v>
      </c>
      <c r="D262" s="131">
        <f t="shared" si="33"/>
        <v>0</v>
      </c>
      <c r="E262" s="132">
        <f t="shared" si="37"/>
        <v>0</v>
      </c>
      <c r="F262" s="133">
        <f t="shared" si="34"/>
        <v>0</v>
      </c>
      <c r="G262" s="133">
        <f t="shared" si="39"/>
        <v>0</v>
      </c>
      <c r="H262" s="124"/>
      <c r="I262" s="84"/>
      <c r="J262" s="86"/>
      <c r="K262" s="85"/>
      <c r="L262" s="85"/>
      <c r="M262" s="85"/>
      <c r="N262" s="85"/>
      <c r="O262" s="85"/>
      <c r="P262" s="85"/>
    </row>
    <row r="263" spans="1:16" ht="12.75">
      <c r="A263" s="85"/>
      <c r="B263" s="120">
        <f t="shared" si="35"/>
        <v>254</v>
      </c>
      <c r="C263" s="131">
        <f t="shared" si="36"/>
        <v>0</v>
      </c>
      <c r="D263" s="131">
        <f t="shared" si="33"/>
        <v>0</v>
      </c>
      <c r="E263" s="132">
        <f t="shared" si="37"/>
        <v>0</v>
      </c>
      <c r="F263" s="133">
        <f t="shared" si="34"/>
        <v>0</v>
      </c>
      <c r="G263" s="133">
        <f t="shared" si="39"/>
        <v>0</v>
      </c>
      <c r="H263" s="124"/>
      <c r="I263" s="84"/>
      <c r="J263" s="86"/>
      <c r="K263" s="85"/>
      <c r="L263" s="85"/>
      <c r="M263" s="85"/>
      <c r="N263" s="85"/>
      <c r="O263" s="85"/>
      <c r="P263" s="85"/>
    </row>
    <row r="264" spans="1:16" ht="12.75">
      <c r="A264" s="85"/>
      <c r="B264" s="120">
        <f t="shared" si="35"/>
        <v>255</v>
      </c>
      <c r="C264" s="131">
        <f t="shared" si="36"/>
        <v>0</v>
      </c>
      <c r="D264" s="131">
        <f t="shared" si="33"/>
        <v>0</v>
      </c>
      <c r="E264" s="132">
        <f t="shared" si="37"/>
        <v>0</v>
      </c>
      <c r="F264" s="133">
        <f t="shared" si="34"/>
        <v>0</v>
      </c>
      <c r="G264" s="133">
        <f t="shared" si="39"/>
        <v>0</v>
      </c>
      <c r="H264" s="124"/>
      <c r="I264" s="84"/>
      <c r="J264" s="86"/>
      <c r="K264" s="85"/>
      <c r="L264" s="85"/>
      <c r="M264" s="85"/>
      <c r="N264" s="85"/>
      <c r="O264" s="85"/>
      <c r="P264" s="85"/>
    </row>
    <row r="265" spans="1:16" ht="12.75">
      <c r="A265" s="85"/>
      <c r="B265" s="120">
        <f t="shared" si="35"/>
        <v>256</v>
      </c>
      <c r="C265" s="131">
        <f t="shared" si="36"/>
        <v>0</v>
      </c>
      <c r="D265" s="131">
        <f t="shared" si="33"/>
        <v>0</v>
      </c>
      <c r="E265" s="132">
        <f t="shared" si="37"/>
        <v>0</v>
      </c>
      <c r="F265" s="133">
        <f t="shared" si="34"/>
        <v>0</v>
      </c>
      <c r="G265" s="133">
        <f t="shared" si="39"/>
        <v>0</v>
      </c>
      <c r="H265" s="124"/>
      <c r="I265" s="84"/>
      <c r="J265" s="86"/>
      <c r="K265" s="85"/>
      <c r="L265" s="85"/>
      <c r="M265" s="85"/>
      <c r="N265" s="85"/>
      <c r="O265" s="85"/>
      <c r="P265" s="85"/>
    </row>
    <row r="266" spans="1:16" ht="12.75">
      <c r="A266" s="85"/>
      <c r="B266" s="120">
        <f t="shared" si="35"/>
        <v>257</v>
      </c>
      <c r="C266" s="131">
        <f t="shared" si="36"/>
        <v>0</v>
      </c>
      <c r="D266" s="131">
        <f aca="true" t="shared" si="40" ref="D266:D329">IF(C266&gt;0,(Rate/100)/Period*Beginning_balance,0)</f>
        <v>0</v>
      </c>
      <c r="E266" s="132">
        <f t="shared" si="37"/>
        <v>0</v>
      </c>
      <c r="F266" s="133">
        <f aca="true" t="shared" si="41" ref="F266:F329">IF(C266&gt;1,(C266-E266),0)</f>
        <v>0</v>
      </c>
      <c r="G266" s="133">
        <f t="shared" si="39"/>
        <v>0</v>
      </c>
      <c r="H266" s="124"/>
      <c r="I266" s="84"/>
      <c r="J266" s="86"/>
      <c r="K266" s="85"/>
      <c r="L266" s="85"/>
      <c r="M266" s="85"/>
      <c r="N266" s="85"/>
      <c r="O266" s="85"/>
      <c r="P266" s="85"/>
    </row>
    <row r="267" spans="1:16" ht="12.75">
      <c r="A267" s="85"/>
      <c r="B267" s="120">
        <f aca="true" t="shared" si="42" ref="B267:B330">+B266+1</f>
        <v>258</v>
      </c>
      <c r="C267" s="131">
        <f aca="true" t="shared" si="43" ref="C267:C330">IF(F266&gt;0,F266,0)</f>
        <v>0</v>
      </c>
      <c r="D267" s="131">
        <f t="shared" si="40"/>
        <v>0</v>
      </c>
      <c r="E267" s="132">
        <f aca="true" t="shared" si="44" ref="E267:E330">IF(C267&lt;1,0,(Payment-Interest))</f>
        <v>0</v>
      </c>
      <c r="F267" s="133">
        <f t="shared" si="41"/>
        <v>0</v>
      </c>
      <c r="G267" s="133">
        <f t="shared" si="39"/>
        <v>0</v>
      </c>
      <c r="H267" s="124"/>
      <c r="I267" s="84"/>
      <c r="J267" s="86"/>
      <c r="K267" s="85"/>
      <c r="L267" s="85"/>
      <c r="M267" s="85"/>
      <c r="N267" s="85"/>
      <c r="O267" s="85"/>
      <c r="P267" s="85"/>
    </row>
    <row r="268" spans="1:16" ht="12.75">
      <c r="A268" s="85"/>
      <c r="B268" s="120">
        <f t="shared" si="42"/>
        <v>259</v>
      </c>
      <c r="C268" s="131">
        <f t="shared" si="43"/>
        <v>0</v>
      </c>
      <c r="D268" s="131">
        <f t="shared" si="40"/>
        <v>0</v>
      </c>
      <c r="E268" s="132">
        <f t="shared" si="44"/>
        <v>0</v>
      </c>
      <c r="F268" s="133">
        <f t="shared" si="41"/>
        <v>0</v>
      </c>
      <c r="G268" s="133">
        <f t="shared" si="39"/>
        <v>0</v>
      </c>
      <c r="H268" s="124"/>
      <c r="I268" s="84"/>
      <c r="J268" s="86"/>
      <c r="K268" s="85"/>
      <c r="L268" s="85"/>
      <c r="M268" s="85"/>
      <c r="N268" s="85"/>
      <c r="O268" s="85"/>
      <c r="P268" s="85"/>
    </row>
    <row r="269" spans="1:16" ht="12.75">
      <c r="A269" s="85"/>
      <c r="B269" s="120">
        <f t="shared" si="42"/>
        <v>260</v>
      </c>
      <c r="C269" s="131">
        <f t="shared" si="43"/>
        <v>0</v>
      </c>
      <c r="D269" s="131">
        <f t="shared" si="40"/>
        <v>0</v>
      </c>
      <c r="E269" s="132">
        <f t="shared" si="44"/>
        <v>0</v>
      </c>
      <c r="F269" s="133">
        <f t="shared" si="41"/>
        <v>0</v>
      </c>
      <c r="G269" s="133">
        <f t="shared" si="39"/>
        <v>0</v>
      </c>
      <c r="H269" s="124"/>
      <c r="I269" s="84"/>
      <c r="J269" s="86"/>
      <c r="K269" s="85"/>
      <c r="L269" s="85"/>
      <c r="M269" s="85"/>
      <c r="N269" s="85"/>
      <c r="O269" s="85"/>
      <c r="P269" s="85"/>
    </row>
    <row r="270" spans="1:16" ht="12.75">
      <c r="A270" s="85"/>
      <c r="B270" s="120">
        <f t="shared" si="42"/>
        <v>261</v>
      </c>
      <c r="C270" s="131">
        <f t="shared" si="43"/>
        <v>0</v>
      </c>
      <c r="D270" s="131">
        <f t="shared" si="40"/>
        <v>0</v>
      </c>
      <c r="E270" s="132">
        <f t="shared" si="44"/>
        <v>0</v>
      </c>
      <c r="F270" s="133">
        <f t="shared" si="41"/>
        <v>0</v>
      </c>
      <c r="G270" s="133">
        <f t="shared" si="39"/>
        <v>0</v>
      </c>
      <c r="H270" s="124"/>
      <c r="I270" s="84"/>
      <c r="J270" s="86"/>
      <c r="K270" s="85"/>
      <c r="L270" s="85"/>
      <c r="M270" s="85"/>
      <c r="N270" s="85"/>
      <c r="O270" s="85"/>
      <c r="P270" s="85"/>
    </row>
    <row r="271" spans="1:16" ht="12.75">
      <c r="A271" s="85"/>
      <c r="B271" s="120">
        <f t="shared" si="42"/>
        <v>262</v>
      </c>
      <c r="C271" s="131">
        <f t="shared" si="43"/>
        <v>0</v>
      </c>
      <c r="D271" s="131">
        <f t="shared" si="40"/>
        <v>0</v>
      </c>
      <c r="E271" s="132">
        <f t="shared" si="44"/>
        <v>0</v>
      </c>
      <c r="F271" s="133">
        <f t="shared" si="41"/>
        <v>0</v>
      </c>
      <c r="G271" s="133">
        <f t="shared" si="39"/>
        <v>0</v>
      </c>
      <c r="H271" s="124"/>
      <c r="I271" s="84"/>
      <c r="J271" s="86"/>
      <c r="K271" s="85"/>
      <c r="L271" s="85"/>
      <c r="M271" s="85"/>
      <c r="N271" s="85"/>
      <c r="O271" s="85"/>
      <c r="P271" s="85"/>
    </row>
    <row r="272" spans="1:16" ht="12.75">
      <c r="A272" s="85"/>
      <c r="B272" s="120">
        <f t="shared" si="42"/>
        <v>263</v>
      </c>
      <c r="C272" s="131">
        <f t="shared" si="43"/>
        <v>0</v>
      </c>
      <c r="D272" s="131">
        <f t="shared" si="40"/>
        <v>0</v>
      </c>
      <c r="E272" s="132">
        <f t="shared" si="44"/>
        <v>0</v>
      </c>
      <c r="F272" s="133">
        <f t="shared" si="41"/>
        <v>0</v>
      </c>
      <c r="G272" s="133">
        <f t="shared" si="39"/>
        <v>0</v>
      </c>
      <c r="H272" s="124"/>
      <c r="I272" s="84"/>
      <c r="J272" s="86"/>
      <c r="K272" s="85"/>
      <c r="L272" s="85"/>
      <c r="M272" s="85"/>
      <c r="N272" s="85"/>
      <c r="O272" s="85"/>
      <c r="P272" s="85"/>
    </row>
    <row r="273" spans="1:16" ht="12.75">
      <c r="A273" s="85"/>
      <c r="B273" s="120">
        <f t="shared" si="42"/>
        <v>264</v>
      </c>
      <c r="C273" s="131">
        <f t="shared" si="43"/>
        <v>0</v>
      </c>
      <c r="D273" s="131">
        <f t="shared" si="40"/>
        <v>0</v>
      </c>
      <c r="E273" s="132">
        <f t="shared" si="44"/>
        <v>0</v>
      </c>
      <c r="F273" s="133">
        <f t="shared" si="41"/>
        <v>0</v>
      </c>
      <c r="G273" s="133">
        <f t="shared" si="39"/>
        <v>0</v>
      </c>
      <c r="H273" s="124"/>
      <c r="I273" s="84"/>
      <c r="J273" s="86"/>
      <c r="K273" s="85"/>
      <c r="L273" s="85"/>
      <c r="M273" s="85"/>
      <c r="N273" s="85"/>
      <c r="O273" s="85"/>
      <c r="P273" s="85"/>
    </row>
    <row r="274" spans="1:16" ht="12.75">
      <c r="A274" s="85"/>
      <c r="B274" s="120">
        <f t="shared" si="42"/>
        <v>265</v>
      </c>
      <c r="C274" s="131">
        <f t="shared" si="43"/>
        <v>0</v>
      </c>
      <c r="D274" s="131">
        <f t="shared" si="40"/>
        <v>0</v>
      </c>
      <c r="E274" s="132">
        <f t="shared" si="44"/>
        <v>0</v>
      </c>
      <c r="F274" s="133">
        <f t="shared" si="41"/>
        <v>0</v>
      </c>
      <c r="G274" s="133">
        <f t="shared" si="39"/>
        <v>0</v>
      </c>
      <c r="H274" s="124"/>
      <c r="I274" s="84"/>
      <c r="J274" s="86"/>
      <c r="K274" s="85"/>
      <c r="L274" s="85"/>
      <c r="M274" s="85"/>
      <c r="N274" s="85"/>
      <c r="O274" s="85"/>
      <c r="P274" s="85"/>
    </row>
    <row r="275" spans="1:16" ht="12.75">
      <c r="A275" s="85"/>
      <c r="B275" s="120">
        <f t="shared" si="42"/>
        <v>266</v>
      </c>
      <c r="C275" s="131">
        <f t="shared" si="43"/>
        <v>0</v>
      </c>
      <c r="D275" s="131">
        <f t="shared" si="40"/>
        <v>0</v>
      </c>
      <c r="E275" s="132">
        <f t="shared" si="44"/>
        <v>0</v>
      </c>
      <c r="F275" s="133">
        <f t="shared" si="41"/>
        <v>0</v>
      </c>
      <c r="G275" s="133">
        <f t="shared" si="39"/>
        <v>0</v>
      </c>
      <c r="H275" s="124"/>
      <c r="I275" s="84"/>
      <c r="J275" s="86"/>
      <c r="K275" s="85"/>
      <c r="L275" s="85"/>
      <c r="M275" s="85"/>
      <c r="N275" s="85"/>
      <c r="O275" s="85"/>
      <c r="P275" s="85"/>
    </row>
    <row r="276" spans="1:16" ht="12.75">
      <c r="A276" s="85"/>
      <c r="B276" s="120">
        <f t="shared" si="42"/>
        <v>267</v>
      </c>
      <c r="C276" s="131">
        <f t="shared" si="43"/>
        <v>0</v>
      </c>
      <c r="D276" s="131">
        <f t="shared" si="40"/>
        <v>0</v>
      </c>
      <c r="E276" s="132">
        <f t="shared" si="44"/>
        <v>0</v>
      </c>
      <c r="F276" s="133">
        <f t="shared" si="41"/>
        <v>0</v>
      </c>
      <c r="G276" s="133">
        <f t="shared" si="39"/>
        <v>0</v>
      </c>
      <c r="H276" s="124"/>
      <c r="I276" s="84"/>
      <c r="J276" s="86"/>
      <c r="K276" s="85"/>
      <c r="L276" s="85"/>
      <c r="M276" s="85"/>
      <c r="N276" s="85"/>
      <c r="O276" s="85"/>
      <c r="P276" s="85"/>
    </row>
    <row r="277" spans="1:16" ht="12.75">
      <c r="A277" s="85"/>
      <c r="B277" s="120">
        <f t="shared" si="42"/>
        <v>268</v>
      </c>
      <c r="C277" s="131">
        <f t="shared" si="43"/>
        <v>0</v>
      </c>
      <c r="D277" s="131">
        <f t="shared" si="40"/>
        <v>0</v>
      </c>
      <c r="E277" s="132">
        <f t="shared" si="44"/>
        <v>0</v>
      </c>
      <c r="F277" s="133">
        <f t="shared" si="41"/>
        <v>0</v>
      </c>
      <c r="G277" s="133">
        <f t="shared" si="39"/>
        <v>0</v>
      </c>
      <c r="H277" s="124"/>
      <c r="I277" s="84"/>
      <c r="J277" s="86"/>
      <c r="K277" s="85"/>
      <c r="L277" s="85"/>
      <c r="M277" s="85"/>
      <c r="N277" s="85"/>
      <c r="O277" s="85"/>
      <c r="P277" s="85"/>
    </row>
    <row r="278" spans="1:16" ht="12.75">
      <c r="A278" s="85"/>
      <c r="B278" s="120">
        <f t="shared" si="42"/>
        <v>269</v>
      </c>
      <c r="C278" s="131">
        <f t="shared" si="43"/>
        <v>0</v>
      </c>
      <c r="D278" s="131">
        <f t="shared" si="40"/>
        <v>0</v>
      </c>
      <c r="E278" s="132">
        <f t="shared" si="44"/>
        <v>0</v>
      </c>
      <c r="F278" s="133">
        <f t="shared" si="41"/>
        <v>0</v>
      </c>
      <c r="G278" s="133">
        <f t="shared" si="39"/>
        <v>0</v>
      </c>
      <c r="H278" s="124"/>
      <c r="I278" s="84"/>
      <c r="J278" s="86"/>
      <c r="K278" s="85"/>
      <c r="L278" s="85"/>
      <c r="M278" s="85"/>
      <c r="N278" s="85"/>
      <c r="O278" s="85"/>
      <c r="P278" s="85"/>
    </row>
    <row r="279" spans="1:16" ht="12.75">
      <c r="A279" s="85"/>
      <c r="B279" s="120">
        <f t="shared" si="42"/>
        <v>270</v>
      </c>
      <c r="C279" s="131">
        <f t="shared" si="43"/>
        <v>0</v>
      </c>
      <c r="D279" s="131">
        <f t="shared" si="40"/>
        <v>0</v>
      </c>
      <c r="E279" s="132">
        <f t="shared" si="44"/>
        <v>0</v>
      </c>
      <c r="F279" s="133">
        <f t="shared" si="41"/>
        <v>0</v>
      </c>
      <c r="G279" s="133">
        <f t="shared" si="39"/>
        <v>0</v>
      </c>
      <c r="H279" s="124"/>
      <c r="I279" s="84"/>
      <c r="J279" s="86"/>
      <c r="K279" s="85"/>
      <c r="L279" s="85"/>
      <c r="M279" s="85"/>
      <c r="N279" s="85"/>
      <c r="O279" s="85"/>
      <c r="P279" s="85"/>
    </row>
    <row r="280" spans="1:16" ht="12.75">
      <c r="A280" s="85"/>
      <c r="B280" s="120">
        <f t="shared" si="42"/>
        <v>271</v>
      </c>
      <c r="C280" s="131">
        <f t="shared" si="43"/>
        <v>0</v>
      </c>
      <c r="D280" s="131">
        <f t="shared" si="40"/>
        <v>0</v>
      </c>
      <c r="E280" s="132">
        <f t="shared" si="44"/>
        <v>0</v>
      </c>
      <c r="F280" s="133">
        <f t="shared" si="41"/>
        <v>0</v>
      </c>
      <c r="G280" s="133">
        <f t="shared" si="39"/>
        <v>0</v>
      </c>
      <c r="H280" s="124"/>
      <c r="I280" s="84"/>
      <c r="J280" s="86"/>
      <c r="K280" s="85"/>
      <c r="L280" s="85"/>
      <c r="M280" s="85"/>
      <c r="N280" s="85"/>
      <c r="O280" s="85"/>
      <c r="P280" s="85"/>
    </row>
    <row r="281" spans="1:16" ht="12.75">
      <c r="A281" s="85"/>
      <c r="B281" s="120">
        <f t="shared" si="42"/>
        <v>272</v>
      </c>
      <c r="C281" s="131">
        <f t="shared" si="43"/>
        <v>0</v>
      </c>
      <c r="D281" s="131">
        <f t="shared" si="40"/>
        <v>0</v>
      </c>
      <c r="E281" s="132">
        <f t="shared" si="44"/>
        <v>0</v>
      </c>
      <c r="F281" s="133">
        <f t="shared" si="41"/>
        <v>0</v>
      </c>
      <c r="G281" s="133">
        <f t="shared" si="39"/>
        <v>0</v>
      </c>
      <c r="H281" s="124"/>
      <c r="I281" s="84"/>
      <c r="J281" s="86"/>
      <c r="K281" s="85"/>
      <c r="L281" s="85"/>
      <c r="M281" s="85"/>
      <c r="N281" s="85"/>
      <c r="O281" s="85"/>
      <c r="P281" s="85"/>
    </row>
    <row r="282" spans="1:16" ht="12.75">
      <c r="A282" s="85"/>
      <c r="B282" s="120">
        <f t="shared" si="42"/>
        <v>273</v>
      </c>
      <c r="C282" s="131">
        <f t="shared" si="43"/>
        <v>0</v>
      </c>
      <c r="D282" s="131">
        <f t="shared" si="40"/>
        <v>0</v>
      </c>
      <c r="E282" s="132">
        <f t="shared" si="44"/>
        <v>0</v>
      </c>
      <c r="F282" s="133">
        <f t="shared" si="41"/>
        <v>0</v>
      </c>
      <c r="G282" s="133">
        <f t="shared" si="39"/>
        <v>0</v>
      </c>
      <c r="H282" s="124"/>
      <c r="I282" s="84"/>
      <c r="J282" s="86"/>
      <c r="K282" s="85"/>
      <c r="L282" s="85"/>
      <c r="M282" s="85"/>
      <c r="N282" s="85"/>
      <c r="O282" s="85"/>
      <c r="P282" s="85"/>
    </row>
    <row r="283" spans="1:16" ht="12.75">
      <c r="A283" s="85"/>
      <c r="B283" s="120">
        <f t="shared" si="42"/>
        <v>274</v>
      </c>
      <c r="C283" s="131">
        <f t="shared" si="43"/>
        <v>0</v>
      </c>
      <c r="D283" s="131">
        <f t="shared" si="40"/>
        <v>0</v>
      </c>
      <c r="E283" s="132">
        <f t="shared" si="44"/>
        <v>0</v>
      </c>
      <c r="F283" s="133">
        <f t="shared" si="41"/>
        <v>0</v>
      </c>
      <c r="G283" s="133">
        <f t="shared" si="39"/>
        <v>0</v>
      </c>
      <c r="H283" s="124"/>
      <c r="I283" s="84"/>
      <c r="J283" s="86"/>
      <c r="K283" s="85"/>
      <c r="L283" s="85"/>
      <c r="M283" s="85"/>
      <c r="N283" s="85"/>
      <c r="O283" s="85"/>
      <c r="P283" s="85"/>
    </row>
    <row r="284" spans="1:16" ht="12.75">
      <c r="A284" s="85"/>
      <c r="B284" s="120">
        <f t="shared" si="42"/>
        <v>275</v>
      </c>
      <c r="C284" s="131">
        <f t="shared" si="43"/>
        <v>0</v>
      </c>
      <c r="D284" s="131">
        <f t="shared" si="40"/>
        <v>0</v>
      </c>
      <c r="E284" s="132">
        <f t="shared" si="44"/>
        <v>0</v>
      </c>
      <c r="F284" s="133">
        <f t="shared" si="41"/>
        <v>0</v>
      </c>
      <c r="G284" s="133">
        <f t="shared" si="39"/>
        <v>0</v>
      </c>
      <c r="H284" s="124"/>
      <c r="I284" s="84"/>
      <c r="J284" s="86"/>
      <c r="K284" s="85"/>
      <c r="L284" s="85"/>
      <c r="M284" s="85"/>
      <c r="N284" s="85"/>
      <c r="O284" s="85"/>
      <c r="P284" s="85"/>
    </row>
    <row r="285" spans="1:16" ht="12.75">
      <c r="A285" s="85"/>
      <c r="B285" s="120">
        <f t="shared" si="42"/>
        <v>276</v>
      </c>
      <c r="C285" s="131">
        <f t="shared" si="43"/>
        <v>0</v>
      </c>
      <c r="D285" s="131">
        <f t="shared" si="40"/>
        <v>0</v>
      </c>
      <c r="E285" s="132">
        <f t="shared" si="44"/>
        <v>0</v>
      </c>
      <c r="F285" s="133">
        <f t="shared" si="41"/>
        <v>0</v>
      </c>
      <c r="G285" s="133">
        <f t="shared" si="39"/>
        <v>0</v>
      </c>
      <c r="H285" s="124"/>
      <c r="I285" s="84"/>
      <c r="J285" s="86"/>
      <c r="K285" s="85"/>
      <c r="L285" s="85"/>
      <c r="M285" s="85"/>
      <c r="N285" s="85"/>
      <c r="O285" s="85"/>
      <c r="P285" s="85"/>
    </row>
    <row r="286" spans="1:16" ht="12.75">
      <c r="A286" s="85"/>
      <c r="B286" s="120">
        <f t="shared" si="42"/>
        <v>277</v>
      </c>
      <c r="C286" s="131">
        <f t="shared" si="43"/>
        <v>0</v>
      </c>
      <c r="D286" s="131">
        <f t="shared" si="40"/>
        <v>0</v>
      </c>
      <c r="E286" s="132">
        <f t="shared" si="44"/>
        <v>0</v>
      </c>
      <c r="F286" s="133">
        <f t="shared" si="41"/>
        <v>0</v>
      </c>
      <c r="G286" s="133">
        <f aca="true" t="shared" si="45" ref="G286:G317">G285+D286</f>
        <v>0</v>
      </c>
      <c r="H286" s="124"/>
      <c r="I286" s="84"/>
      <c r="J286" s="86"/>
      <c r="K286" s="85"/>
      <c r="L286" s="85"/>
      <c r="M286" s="85"/>
      <c r="N286" s="85"/>
      <c r="O286" s="85"/>
      <c r="P286" s="85"/>
    </row>
    <row r="287" spans="1:16" ht="12.75">
      <c r="A287" s="85"/>
      <c r="B287" s="120">
        <f t="shared" si="42"/>
        <v>278</v>
      </c>
      <c r="C287" s="131">
        <f t="shared" si="43"/>
        <v>0</v>
      </c>
      <c r="D287" s="131">
        <f t="shared" si="40"/>
        <v>0</v>
      </c>
      <c r="E287" s="132">
        <f t="shared" si="44"/>
        <v>0</v>
      </c>
      <c r="F287" s="133">
        <f t="shared" si="41"/>
        <v>0</v>
      </c>
      <c r="G287" s="133">
        <f t="shared" si="45"/>
        <v>0</v>
      </c>
      <c r="H287" s="124"/>
      <c r="I287" s="84"/>
      <c r="J287" s="86"/>
      <c r="K287" s="85"/>
      <c r="L287" s="85"/>
      <c r="M287" s="85"/>
      <c r="N287" s="85"/>
      <c r="O287" s="85"/>
      <c r="P287" s="85"/>
    </row>
    <row r="288" spans="1:16" ht="12.75">
      <c r="A288" s="85"/>
      <c r="B288" s="120">
        <f t="shared" si="42"/>
        <v>279</v>
      </c>
      <c r="C288" s="131">
        <f t="shared" si="43"/>
        <v>0</v>
      </c>
      <c r="D288" s="131">
        <f t="shared" si="40"/>
        <v>0</v>
      </c>
      <c r="E288" s="132">
        <f t="shared" si="44"/>
        <v>0</v>
      </c>
      <c r="F288" s="133">
        <f t="shared" si="41"/>
        <v>0</v>
      </c>
      <c r="G288" s="133">
        <f t="shared" si="45"/>
        <v>0</v>
      </c>
      <c r="H288" s="124"/>
      <c r="I288" s="84"/>
      <c r="J288" s="86"/>
      <c r="K288" s="85"/>
      <c r="L288" s="85"/>
      <c r="M288" s="85"/>
      <c r="N288" s="85"/>
      <c r="O288" s="85"/>
      <c r="P288" s="85"/>
    </row>
    <row r="289" spans="1:16" ht="12.75">
      <c r="A289" s="85"/>
      <c r="B289" s="120">
        <f t="shared" si="42"/>
        <v>280</v>
      </c>
      <c r="C289" s="131">
        <f t="shared" si="43"/>
        <v>0</v>
      </c>
      <c r="D289" s="131">
        <f t="shared" si="40"/>
        <v>0</v>
      </c>
      <c r="E289" s="132">
        <f t="shared" si="44"/>
        <v>0</v>
      </c>
      <c r="F289" s="133">
        <f t="shared" si="41"/>
        <v>0</v>
      </c>
      <c r="G289" s="133">
        <f t="shared" si="45"/>
        <v>0</v>
      </c>
      <c r="H289" s="124"/>
      <c r="I289" s="84"/>
      <c r="J289" s="86"/>
      <c r="K289" s="85"/>
      <c r="L289" s="85"/>
      <c r="M289" s="85"/>
      <c r="N289" s="85"/>
      <c r="O289" s="85"/>
      <c r="P289" s="85"/>
    </row>
    <row r="290" spans="1:16" ht="12.75">
      <c r="A290" s="85"/>
      <c r="B290" s="120">
        <f t="shared" si="42"/>
        <v>281</v>
      </c>
      <c r="C290" s="131">
        <f t="shared" si="43"/>
        <v>0</v>
      </c>
      <c r="D290" s="131">
        <f t="shared" si="40"/>
        <v>0</v>
      </c>
      <c r="E290" s="132">
        <f t="shared" si="44"/>
        <v>0</v>
      </c>
      <c r="F290" s="133">
        <f t="shared" si="41"/>
        <v>0</v>
      </c>
      <c r="G290" s="133">
        <f t="shared" si="45"/>
        <v>0</v>
      </c>
      <c r="H290" s="124"/>
      <c r="I290" s="84"/>
      <c r="J290" s="86"/>
      <c r="K290" s="85"/>
      <c r="L290" s="85"/>
      <c r="M290" s="85"/>
      <c r="N290" s="85"/>
      <c r="O290" s="85"/>
      <c r="P290" s="85"/>
    </row>
    <row r="291" spans="1:16" ht="12.75">
      <c r="A291" s="85"/>
      <c r="B291" s="120">
        <f t="shared" si="42"/>
        <v>282</v>
      </c>
      <c r="C291" s="131">
        <f t="shared" si="43"/>
        <v>0</v>
      </c>
      <c r="D291" s="131">
        <f t="shared" si="40"/>
        <v>0</v>
      </c>
      <c r="E291" s="132">
        <f t="shared" si="44"/>
        <v>0</v>
      </c>
      <c r="F291" s="133">
        <f t="shared" si="41"/>
        <v>0</v>
      </c>
      <c r="G291" s="133">
        <f t="shared" si="45"/>
        <v>0</v>
      </c>
      <c r="H291" s="124"/>
      <c r="I291" s="84"/>
      <c r="J291" s="86"/>
      <c r="K291" s="85"/>
      <c r="L291" s="85"/>
      <c r="M291" s="85"/>
      <c r="N291" s="85"/>
      <c r="O291" s="85"/>
      <c r="P291" s="85"/>
    </row>
    <row r="292" spans="1:16" ht="12.75">
      <c r="A292" s="85"/>
      <c r="B292" s="120">
        <f t="shared" si="42"/>
        <v>283</v>
      </c>
      <c r="C292" s="131">
        <f t="shared" si="43"/>
        <v>0</v>
      </c>
      <c r="D292" s="131">
        <f t="shared" si="40"/>
        <v>0</v>
      </c>
      <c r="E292" s="132">
        <f t="shared" si="44"/>
        <v>0</v>
      </c>
      <c r="F292" s="133">
        <f t="shared" si="41"/>
        <v>0</v>
      </c>
      <c r="G292" s="133">
        <f t="shared" si="45"/>
        <v>0</v>
      </c>
      <c r="H292" s="124"/>
      <c r="I292" s="84"/>
      <c r="J292" s="86"/>
      <c r="K292" s="85"/>
      <c r="L292" s="85"/>
      <c r="M292" s="85"/>
      <c r="N292" s="85"/>
      <c r="O292" s="85"/>
      <c r="P292" s="85"/>
    </row>
    <row r="293" spans="1:16" ht="12.75">
      <c r="A293" s="85"/>
      <c r="B293" s="120">
        <f t="shared" si="42"/>
        <v>284</v>
      </c>
      <c r="C293" s="131">
        <f t="shared" si="43"/>
        <v>0</v>
      </c>
      <c r="D293" s="131">
        <f t="shared" si="40"/>
        <v>0</v>
      </c>
      <c r="E293" s="132">
        <f t="shared" si="44"/>
        <v>0</v>
      </c>
      <c r="F293" s="133">
        <f t="shared" si="41"/>
        <v>0</v>
      </c>
      <c r="G293" s="133">
        <f t="shared" si="45"/>
        <v>0</v>
      </c>
      <c r="H293" s="124"/>
      <c r="I293" s="84"/>
      <c r="J293" s="86"/>
      <c r="K293" s="85"/>
      <c r="L293" s="85"/>
      <c r="M293" s="85"/>
      <c r="N293" s="85"/>
      <c r="O293" s="85"/>
      <c r="P293" s="85"/>
    </row>
    <row r="294" spans="1:16" ht="12.75">
      <c r="A294" s="85"/>
      <c r="B294" s="120">
        <f t="shared" si="42"/>
        <v>285</v>
      </c>
      <c r="C294" s="131">
        <f t="shared" si="43"/>
        <v>0</v>
      </c>
      <c r="D294" s="131">
        <f t="shared" si="40"/>
        <v>0</v>
      </c>
      <c r="E294" s="132">
        <f t="shared" si="44"/>
        <v>0</v>
      </c>
      <c r="F294" s="133">
        <f t="shared" si="41"/>
        <v>0</v>
      </c>
      <c r="G294" s="133">
        <f t="shared" si="45"/>
        <v>0</v>
      </c>
      <c r="H294" s="124"/>
      <c r="I294" s="84"/>
      <c r="J294" s="86"/>
      <c r="K294" s="85"/>
      <c r="L294" s="85"/>
      <c r="M294" s="85"/>
      <c r="N294" s="85"/>
      <c r="O294" s="85"/>
      <c r="P294" s="85"/>
    </row>
    <row r="295" spans="1:16" ht="12.75">
      <c r="A295" s="85"/>
      <c r="B295" s="120">
        <f t="shared" si="42"/>
        <v>286</v>
      </c>
      <c r="C295" s="131">
        <f t="shared" si="43"/>
        <v>0</v>
      </c>
      <c r="D295" s="131">
        <f t="shared" si="40"/>
        <v>0</v>
      </c>
      <c r="E295" s="132">
        <f t="shared" si="44"/>
        <v>0</v>
      </c>
      <c r="F295" s="133">
        <f t="shared" si="41"/>
        <v>0</v>
      </c>
      <c r="G295" s="133">
        <f t="shared" si="45"/>
        <v>0</v>
      </c>
      <c r="H295" s="124"/>
      <c r="I295" s="84"/>
      <c r="J295" s="86"/>
      <c r="K295" s="85"/>
      <c r="L295" s="85"/>
      <c r="M295" s="85"/>
      <c r="N295" s="85"/>
      <c r="O295" s="85"/>
      <c r="P295" s="85"/>
    </row>
    <row r="296" spans="1:16" ht="12.75">
      <c r="A296" s="85"/>
      <c r="B296" s="120">
        <f t="shared" si="42"/>
        <v>287</v>
      </c>
      <c r="C296" s="131">
        <f t="shared" si="43"/>
        <v>0</v>
      </c>
      <c r="D296" s="131">
        <f t="shared" si="40"/>
        <v>0</v>
      </c>
      <c r="E296" s="132">
        <f t="shared" si="44"/>
        <v>0</v>
      </c>
      <c r="F296" s="133">
        <f t="shared" si="41"/>
        <v>0</v>
      </c>
      <c r="G296" s="133">
        <f t="shared" si="45"/>
        <v>0</v>
      </c>
      <c r="H296" s="124"/>
      <c r="I296" s="84"/>
      <c r="J296" s="86"/>
      <c r="K296" s="85"/>
      <c r="L296" s="85"/>
      <c r="M296" s="85"/>
      <c r="N296" s="85"/>
      <c r="O296" s="85"/>
      <c r="P296" s="85"/>
    </row>
    <row r="297" spans="1:16" ht="12.75">
      <c r="A297" s="85"/>
      <c r="B297" s="120">
        <f t="shared" si="42"/>
        <v>288</v>
      </c>
      <c r="C297" s="131">
        <f t="shared" si="43"/>
        <v>0</v>
      </c>
      <c r="D297" s="131">
        <f t="shared" si="40"/>
        <v>0</v>
      </c>
      <c r="E297" s="132">
        <f t="shared" si="44"/>
        <v>0</v>
      </c>
      <c r="F297" s="133">
        <f t="shared" si="41"/>
        <v>0</v>
      </c>
      <c r="G297" s="133">
        <f t="shared" si="45"/>
        <v>0</v>
      </c>
      <c r="H297" s="124"/>
      <c r="I297" s="84"/>
      <c r="J297" s="86"/>
      <c r="K297" s="85"/>
      <c r="L297" s="85"/>
      <c r="M297" s="85"/>
      <c r="N297" s="85"/>
      <c r="O297" s="85"/>
      <c r="P297" s="85"/>
    </row>
    <row r="298" spans="1:16" ht="12.75">
      <c r="A298" s="85"/>
      <c r="B298" s="120">
        <f t="shared" si="42"/>
        <v>289</v>
      </c>
      <c r="C298" s="131">
        <f t="shared" si="43"/>
        <v>0</v>
      </c>
      <c r="D298" s="131">
        <f t="shared" si="40"/>
        <v>0</v>
      </c>
      <c r="E298" s="132">
        <f t="shared" si="44"/>
        <v>0</v>
      </c>
      <c r="F298" s="133">
        <f t="shared" si="41"/>
        <v>0</v>
      </c>
      <c r="G298" s="133">
        <f t="shared" si="45"/>
        <v>0</v>
      </c>
      <c r="H298" s="124"/>
      <c r="I298" s="84"/>
      <c r="J298" s="86"/>
      <c r="K298" s="85"/>
      <c r="L298" s="85"/>
      <c r="M298" s="85"/>
      <c r="N298" s="85"/>
      <c r="O298" s="85"/>
      <c r="P298" s="85"/>
    </row>
    <row r="299" spans="1:16" ht="12.75">
      <c r="A299" s="85"/>
      <c r="B299" s="120">
        <f t="shared" si="42"/>
        <v>290</v>
      </c>
      <c r="C299" s="131">
        <f t="shared" si="43"/>
        <v>0</v>
      </c>
      <c r="D299" s="131">
        <f t="shared" si="40"/>
        <v>0</v>
      </c>
      <c r="E299" s="132">
        <f t="shared" si="44"/>
        <v>0</v>
      </c>
      <c r="F299" s="133">
        <f t="shared" si="41"/>
        <v>0</v>
      </c>
      <c r="G299" s="133">
        <f t="shared" si="45"/>
        <v>0</v>
      </c>
      <c r="H299" s="124"/>
      <c r="I299" s="84"/>
      <c r="J299" s="86"/>
      <c r="K299" s="85"/>
      <c r="L299" s="85"/>
      <c r="M299" s="85"/>
      <c r="N299" s="85"/>
      <c r="O299" s="85"/>
      <c r="P299" s="85"/>
    </row>
    <row r="300" spans="1:16" ht="12.75">
      <c r="A300" s="85"/>
      <c r="B300" s="120">
        <f t="shared" si="42"/>
        <v>291</v>
      </c>
      <c r="C300" s="131">
        <f t="shared" si="43"/>
        <v>0</v>
      </c>
      <c r="D300" s="131">
        <f t="shared" si="40"/>
        <v>0</v>
      </c>
      <c r="E300" s="132">
        <f t="shared" si="44"/>
        <v>0</v>
      </c>
      <c r="F300" s="133">
        <f t="shared" si="41"/>
        <v>0</v>
      </c>
      <c r="G300" s="133">
        <f t="shared" si="45"/>
        <v>0</v>
      </c>
      <c r="H300" s="124"/>
      <c r="I300" s="84"/>
      <c r="J300" s="86"/>
      <c r="K300" s="85"/>
      <c r="L300" s="85"/>
      <c r="M300" s="85"/>
      <c r="N300" s="85"/>
      <c r="O300" s="85"/>
      <c r="P300" s="85"/>
    </row>
    <row r="301" spans="1:16" ht="12.75">
      <c r="A301" s="85"/>
      <c r="B301" s="120">
        <f t="shared" si="42"/>
        <v>292</v>
      </c>
      <c r="C301" s="131">
        <f t="shared" si="43"/>
        <v>0</v>
      </c>
      <c r="D301" s="131">
        <f t="shared" si="40"/>
        <v>0</v>
      </c>
      <c r="E301" s="132">
        <f t="shared" si="44"/>
        <v>0</v>
      </c>
      <c r="F301" s="133">
        <f t="shared" si="41"/>
        <v>0</v>
      </c>
      <c r="G301" s="133">
        <f t="shared" si="45"/>
        <v>0</v>
      </c>
      <c r="H301" s="124"/>
      <c r="I301" s="84"/>
      <c r="J301" s="86"/>
      <c r="K301" s="85"/>
      <c r="L301" s="85"/>
      <c r="M301" s="85"/>
      <c r="N301" s="85"/>
      <c r="O301" s="85"/>
      <c r="P301" s="85"/>
    </row>
    <row r="302" spans="1:16" ht="12.75">
      <c r="A302" s="85"/>
      <c r="B302" s="120">
        <f t="shared" si="42"/>
        <v>293</v>
      </c>
      <c r="C302" s="131">
        <f t="shared" si="43"/>
        <v>0</v>
      </c>
      <c r="D302" s="131">
        <f t="shared" si="40"/>
        <v>0</v>
      </c>
      <c r="E302" s="132">
        <f t="shared" si="44"/>
        <v>0</v>
      </c>
      <c r="F302" s="133">
        <f t="shared" si="41"/>
        <v>0</v>
      </c>
      <c r="G302" s="133">
        <f t="shared" si="45"/>
        <v>0</v>
      </c>
      <c r="H302" s="124"/>
      <c r="I302" s="84"/>
      <c r="J302" s="86"/>
      <c r="K302" s="85"/>
      <c r="L302" s="85"/>
      <c r="M302" s="85"/>
      <c r="N302" s="85"/>
      <c r="O302" s="85"/>
      <c r="P302" s="85"/>
    </row>
    <row r="303" spans="1:16" ht="12.75">
      <c r="A303" s="85"/>
      <c r="B303" s="120">
        <f t="shared" si="42"/>
        <v>294</v>
      </c>
      <c r="C303" s="131">
        <f t="shared" si="43"/>
        <v>0</v>
      </c>
      <c r="D303" s="131">
        <f t="shared" si="40"/>
        <v>0</v>
      </c>
      <c r="E303" s="132">
        <f t="shared" si="44"/>
        <v>0</v>
      </c>
      <c r="F303" s="133">
        <f t="shared" si="41"/>
        <v>0</v>
      </c>
      <c r="G303" s="133">
        <f t="shared" si="45"/>
        <v>0</v>
      </c>
      <c r="H303" s="124"/>
      <c r="I303" s="84"/>
      <c r="J303" s="86"/>
      <c r="K303" s="85"/>
      <c r="L303" s="85"/>
      <c r="M303" s="85"/>
      <c r="N303" s="85"/>
      <c r="O303" s="85"/>
      <c r="P303" s="85"/>
    </row>
    <row r="304" spans="1:16" ht="12.75">
      <c r="A304" s="85"/>
      <c r="B304" s="120">
        <f t="shared" si="42"/>
        <v>295</v>
      </c>
      <c r="C304" s="131">
        <f t="shared" si="43"/>
        <v>0</v>
      </c>
      <c r="D304" s="131">
        <f t="shared" si="40"/>
        <v>0</v>
      </c>
      <c r="E304" s="132">
        <f t="shared" si="44"/>
        <v>0</v>
      </c>
      <c r="F304" s="133">
        <f t="shared" si="41"/>
        <v>0</v>
      </c>
      <c r="G304" s="133">
        <f t="shared" si="45"/>
        <v>0</v>
      </c>
      <c r="H304" s="124"/>
      <c r="I304" s="84"/>
      <c r="J304" s="86"/>
      <c r="K304" s="85"/>
      <c r="L304" s="85"/>
      <c r="M304" s="85"/>
      <c r="N304" s="85"/>
      <c r="O304" s="85"/>
      <c r="P304" s="85"/>
    </row>
    <row r="305" spans="1:16" ht="12.75">
      <c r="A305" s="85"/>
      <c r="B305" s="120">
        <f t="shared" si="42"/>
        <v>296</v>
      </c>
      <c r="C305" s="131">
        <f t="shared" si="43"/>
        <v>0</v>
      </c>
      <c r="D305" s="131">
        <f t="shared" si="40"/>
        <v>0</v>
      </c>
      <c r="E305" s="132">
        <f t="shared" si="44"/>
        <v>0</v>
      </c>
      <c r="F305" s="133">
        <f t="shared" si="41"/>
        <v>0</v>
      </c>
      <c r="G305" s="133">
        <f t="shared" si="45"/>
        <v>0</v>
      </c>
      <c r="H305" s="124"/>
      <c r="I305" s="84"/>
      <c r="J305" s="86"/>
      <c r="K305" s="85"/>
      <c r="L305" s="85"/>
      <c r="M305" s="85"/>
      <c r="N305" s="85"/>
      <c r="O305" s="85"/>
      <c r="P305" s="85"/>
    </row>
    <row r="306" spans="1:16" ht="12.75">
      <c r="A306" s="85"/>
      <c r="B306" s="120">
        <f t="shared" si="42"/>
        <v>297</v>
      </c>
      <c r="C306" s="131">
        <f t="shared" si="43"/>
        <v>0</v>
      </c>
      <c r="D306" s="131">
        <f t="shared" si="40"/>
        <v>0</v>
      </c>
      <c r="E306" s="132">
        <f t="shared" si="44"/>
        <v>0</v>
      </c>
      <c r="F306" s="133">
        <f t="shared" si="41"/>
        <v>0</v>
      </c>
      <c r="G306" s="133">
        <f t="shared" si="45"/>
        <v>0</v>
      </c>
      <c r="H306" s="124"/>
      <c r="I306" s="84"/>
      <c r="J306" s="86"/>
      <c r="K306" s="85"/>
      <c r="L306" s="85"/>
      <c r="M306" s="85"/>
      <c r="N306" s="85"/>
      <c r="O306" s="85"/>
      <c r="P306" s="85"/>
    </row>
    <row r="307" spans="1:16" ht="12.75">
      <c r="A307" s="85"/>
      <c r="B307" s="120">
        <f t="shared" si="42"/>
        <v>298</v>
      </c>
      <c r="C307" s="131">
        <f t="shared" si="43"/>
        <v>0</v>
      </c>
      <c r="D307" s="131">
        <f t="shared" si="40"/>
        <v>0</v>
      </c>
      <c r="E307" s="132">
        <f t="shared" si="44"/>
        <v>0</v>
      </c>
      <c r="F307" s="133">
        <f t="shared" si="41"/>
        <v>0</v>
      </c>
      <c r="G307" s="133">
        <f t="shared" si="45"/>
        <v>0</v>
      </c>
      <c r="H307" s="124"/>
      <c r="I307" s="84"/>
      <c r="J307" s="86"/>
      <c r="K307" s="85"/>
      <c r="L307" s="85"/>
      <c r="M307" s="85"/>
      <c r="N307" s="85"/>
      <c r="O307" s="85"/>
      <c r="P307" s="85"/>
    </row>
    <row r="308" spans="1:16" ht="12.75">
      <c r="A308" s="85"/>
      <c r="B308" s="120">
        <f t="shared" si="42"/>
        <v>299</v>
      </c>
      <c r="C308" s="131">
        <f t="shared" si="43"/>
        <v>0</v>
      </c>
      <c r="D308" s="131">
        <f t="shared" si="40"/>
        <v>0</v>
      </c>
      <c r="E308" s="132">
        <f t="shared" si="44"/>
        <v>0</v>
      </c>
      <c r="F308" s="133">
        <f t="shared" si="41"/>
        <v>0</v>
      </c>
      <c r="G308" s="133">
        <f t="shared" si="45"/>
        <v>0</v>
      </c>
      <c r="H308" s="124"/>
      <c r="I308" s="84"/>
      <c r="J308" s="86"/>
      <c r="K308" s="85"/>
      <c r="L308" s="85"/>
      <c r="M308" s="85"/>
      <c r="N308" s="85"/>
      <c r="O308" s="85"/>
      <c r="P308" s="85"/>
    </row>
    <row r="309" spans="1:16" ht="12.75">
      <c r="A309" s="85"/>
      <c r="B309" s="120">
        <f t="shared" si="42"/>
        <v>300</v>
      </c>
      <c r="C309" s="131">
        <f t="shared" si="43"/>
        <v>0</v>
      </c>
      <c r="D309" s="131">
        <f t="shared" si="40"/>
        <v>0</v>
      </c>
      <c r="E309" s="132">
        <f t="shared" si="44"/>
        <v>0</v>
      </c>
      <c r="F309" s="133">
        <f t="shared" si="41"/>
        <v>0</v>
      </c>
      <c r="G309" s="133">
        <f t="shared" si="45"/>
        <v>0</v>
      </c>
      <c r="H309" s="124"/>
      <c r="I309" s="84"/>
      <c r="J309" s="86"/>
      <c r="K309" s="85"/>
      <c r="L309" s="85"/>
      <c r="M309" s="85"/>
      <c r="N309" s="85"/>
      <c r="O309" s="85"/>
      <c r="P309" s="85"/>
    </row>
    <row r="310" spans="1:16" ht="12.75">
      <c r="A310" s="85"/>
      <c r="B310" s="120">
        <f t="shared" si="42"/>
        <v>301</v>
      </c>
      <c r="C310" s="131">
        <f t="shared" si="43"/>
        <v>0</v>
      </c>
      <c r="D310" s="131">
        <f t="shared" si="40"/>
        <v>0</v>
      </c>
      <c r="E310" s="132">
        <f t="shared" si="44"/>
        <v>0</v>
      </c>
      <c r="F310" s="133">
        <f t="shared" si="41"/>
        <v>0</v>
      </c>
      <c r="G310" s="133">
        <f t="shared" si="45"/>
        <v>0</v>
      </c>
      <c r="H310" s="124"/>
      <c r="I310" s="84"/>
      <c r="J310" s="86"/>
      <c r="K310" s="85"/>
      <c r="L310" s="85"/>
      <c r="M310" s="85"/>
      <c r="N310" s="85"/>
      <c r="O310" s="85"/>
      <c r="P310" s="85"/>
    </row>
    <row r="311" spans="1:16" ht="12.75">
      <c r="A311" s="85"/>
      <c r="B311" s="120">
        <f t="shared" si="42"/>
        <v>302</v>
      </c>
      <c r="C311" s="131">
        <f t="shared" si="43"/>
        <v>0</v>
      </c>
      <c r="D311" s="131">
        <f t="shared" si="40"/>
        <v>0</v>
      </c>
      <c r="E311" s="132">
        <f t="shared" si="44"/>
        <v>0</v>
      </c>
      <c r="F311" s="133">
        <f t="shared" si="41"/>
        <v>0</v>
      </c>
      <c r="G311" s="133">
        <f t="shared" si="45"/>
        <v>0</v>
      </c>
      <c r="H311" s="124"/>
      <c r="I311" s="84"/>
      <c r="J311" s="86"/>
      <c r="K311" s="85"/>
      <c r="L311" s="85"/>
      <c r="M311" s="85"/>
      <c r="N311" s="85"/>
      <c r="O311" s="85"/>
      <c r="P311" s="85"/>
    </row>
    <row r="312" spans="1:16" ht="12.75">
      <c r="A312" s="85"/>
      <c r="B312" s="120">
        <f t="shared" si="42"/>
        <v>303</v>
      </c>
      <c r="C312" s="131">
        <f t="shared" si="43"/>
        <v>0</v>
      </c>
      <c r="D312" s="131">
        <f t="shared" si="40"/>
        <v>0</v>
      </c>
      <c r="E312" s="132">
        <f t="shared" si="44"/>
        <v>0</v>
      </c>
      <c r="F312" s="133">
        <f t="shared" si="41"/>
        <v>0</v>
      </c>
      <c r="G312" s="133">
        <f t="shared" si="45"/>
        <v>0</v>
      </c>
      <c r="H312" s="124"/>
      <c r="I312" s="84"/>
      <c r="J312" s="86"/>
      <c r="K312" s="85"/>
      <c r="L312" s="85"/>
      <c r="M312" s="85"/>
      <c r="N312" s="85"/>
      <c r="O312" s="85"/>
      <c r="P312" s="85"/>
    </row>
    <row r="313" spans="1:16" ht="12.75">
      <c r="A313" s="85"/>
      <c r="B313" s="120">
        <f t="shared" si="42"/>
        <v>304</v>
      </c>
      <c r="C313" s="131">
        <f t="shared" si="43"/>
        <v>0</v>
      </c>
      <c r="D313" s="131">
        <f t="shared" si="40"/>
        <v>0</v>
      </c>
      <c r="E313" s="132">
        <f t="shared" si="44"/>
        <v>0</v>
      </c>
      <c r="F313" s="133">
        <f t="shared" si="41"/>
        <v>0</v>
      </c>
      <c r="G313" s="133">
        <f t="shared" si="45"/>
        <v>0</v>
      </c>
      <c r="H313" s="124"/>
      <c r="I313" s="84"/>
      <c r="J313" s="86"/>
      <c r="K313" s="85"/>
      <c r="L313" s="85"/>
      <c r="M313" s="85"/>
      <c r="N313" s="85"/>
      <c r="O313" s="85"/>
      <c r="P313" s="85"/>
    </row>
    <row r="314" spans="1:16" ht="12.75">
      <c r="A314" s="85"/>
      <c r="B314" s="120">
        <f t="shared" si="42"/>
        <v>305</v>
      </c>
      <c r="C314" s="131">
        <f t="shared" si="43"/>
        <v>0</v>
      </c>
      <c r="D314" s="131">
        <f t="shared" si="40"/>
        <v>0</v>
      </c>
      <c r="E314" s="132">
        <f t="shared" si="44"/>
        <v>0</v>
      </c>
      <c r="F314" s="133">
        <f t="shared" si="41"/>
        <v>0</v>
      </c>
      <c r="G314" s="133">
        <f t="shared" si="45"/>
        <v>0</v>
      </c>
      <c r="H314" s="124"/>
      <c r="I314" s="84"/>
      <c r="J314" s="86"/>
      <c r="K314" s="85"/>
      <c r="L314" s="85"/>
      <c r="M314" s="85"/>
      <c r="N314" s="85"/>
      <c r="O314" s="85"/>
      <c r="P314" s="85"/>
    </row>
    <row r="315" spans="1:16" ht="12.75">
      <c r="A315" s="85"/>
      <c r="B315" s="120">
        <f t="shared" si="42"/>
        <v>306</v>
      </c>
      <c r="C315" s="131">
        <f t="shared" si="43"/>
        <v>0</v>
      </c>
      <c r="D315" s="131">
        <f t="shared" si="40"/>
        <v>0</v>
      </c>
      <c r="E315" s="132">
        <f t="shared" si="44"/>
        <v>0</v>
      </c>
      <c r="F315" s="133">
        <f t="shared" si="41"/>
        <v>0</v>
      </c>
      <c r="G315" s="133">
        <f t="shared" si="45"/>
        <v>0</v>
      </c>
      <c r="H315" s="124"/>
      <c r="I315" s="84"/>
      <c r="J315" s="86"/>
      <c r="K315" s="85"/>
      <c r="L315" s="85"/>
      <c r="M315" s="85"/>
      <c r="N315" s="85"/>
      <c r="O315" s="85"/>
      <c r="P315" s="85"/>
    </row>
    <row r="316" spans="1:16" ht="12.75">
      <c r="A316" s="85"/>
      <c r="B316" s="120">
        <f t="shared" si="42"/>
        <v>307</v>
      </c>
      <c r="C316" s="131">
        <f t="shared" si="43"/>
        <v>0</v>
      </c>
      <c r="D316" s="131">
        <f t="shared" si="40"/>
        <v>0</v>
      </c>
      <c r="E316" s="132">
        <f t="shared" si="44"/>
        <v>0</v>
      </c>
      <c r="F316" s="133">
        <f t="shared" si="41"/>
        <v>0</v>
      </c>
      <c r="G316" s="133">
        <f t="shared" si="45"/>
        <v>0</v>
      </c>
      <c r="H316" s="124"/>
      <c r="I316" s="84"/>
      <c r="J316" s="86"/>
      <c r="K316" s="85"/>
      <c r="L316" s="85"/>
      <c r="M316" s="85"/>
      <c r="N316" s="85"/>
      <c r="O316" s="85"/>
      <c r="P316" s="85"/>
    </row>
    <row r="317" spans="1:16" ht="12.75">
      <c r="A317" s="85"/>
      <c r="B317" s="120">
        <f t="shared" si="42"/>
        <v>308</v>
      </c>
      <c r="C317" s="131">
        <f t="shared" si="43"/>
        <v>0</v>
      </c>
      <c r="D317" s="131">
        <f t="shared" si="40"/>
        <v>0</v>
      </c>
      <c r="E317" s="132">
        <f t="shared" si="44"/>
        <v>0</v>
      </c>
      <c r="F317" s="133">
        <f t="shared" si="41"/>
        <v>0</v>
      </c>
      <c r="G317" s="133">
        <f t="shared" si="45"/>
        <v>0</v>
      </c>
      <c r="H317" s="124"/>
      <c r="I317" s="84"/>
      <c r="J317" s="86"/>
      <c r="K317" s="85"/>
      <c r="L317" s="85"/>
      <c r="M317" s="85"/>
      <c r="N317" s="85"/>
      <c r="O317" s="85"/>
      <c r="P317" s="85"/>
    </row>
    <row r="318" spans="1:16" ht="12.75">
      <c r="A318" s="85"/>
      <c r="B318" s="120">
        <f t="shared" si="42"/>
        <v>309</v>
      </c>
      <c r="C318" s="131">
        <f t="shared" si="43"/>
        <v>0</v>
      </c>
      <c r="D318" s="131">
        <f t="shared" si="40"/>
        <v>0</v>
      </c>
      <c r="E318" s="132">
        <f t="shared" si="44"/>
        <v>0</v>
      </c>
      <c r="F318" s="133">
        <f t="shared" si="41"/>
        <v>0</v>
      </c>
      <c r="G318" s="133">
        <f aca="true" t="shared" si="46" ref="G318:G349">G317+D318</f>
        <v>0</v>
      </c>
      <c r="H318" s="124"/>
      <c r="I318" s="84"/>
      <c r="J318" s="86"/>
      <c r="K318" s="85"/>
      <c r="L318" s="85"/>
      <c r="M318" s="85"/>
      <c r="N318" s="85"/>
      <c r="O318" s="85"/>
      <c r="P318" s="85"/>
    </row>
    <row r="319" spans="1:16" ht="12.75">
      <c r="A319" s="85"/>
      <c r="B319" s="120">
        <f t="shared" si="42"/>
        <v>310</v>
      </c>
      <c r="C319" s="131">
        <f t="shared" si="43"/>
        <v>0</v>
      </c>
      <c r="D319" s="131">
        <f t="shared" si="40"/>
        <v>0</v>
      </c>
      <c r="E319" s="132">
        <f t="shared" si="44"/>
        <v>0</v>
      </c>
      <c r="F319" s="133">
        <f t="shared" si="41"/>
        <v>0</v>
      </c>
      <c r="G319" s="133">
        <f t="shared" si="46"/>
        <v>0</v>
      </c>
      <c r="H319" s="124"/>
      <c r="I319" s="84"/>
      <c r="J319" s="86"/>
      <c r="K319" s="85"/>
      <c r="L319" s="85"/>
      <c r="M319" s="85"/>
      <c r="N319" s="85"/>
      <c r="O319" s="85"/>
      <c r="P319" s="85"/>
    </row>
    <row r="320" spans="1:16" ht="12.75">
      <c r="A320" s="85"/>
      <c r="B320" s="120">
        <f t="shared" si="42"/>
        <v>311</v>
      </c>
      <c r="C320" s="131">
        <f t="shared" si="43"/>
        <v>0</v>
      </c>
      <c r="D320" s="131">
        <f t="shared" si="40"/>
        <v>0</v>
      </c>
      <c r="E320" s="132">
        <f t="shared" si="44"/>
        <v>0</v>
      </c>
      <c r="F320" s="133">
        <f t="shared" si="41"/>
        <v>0</v>
      </c>
      <c r="G320" s="133">
        <f t="shared" si="46"/>
        <v>0</v>
      </c>
      <c r="H320" s="124"/>
      <c r="I320" s="84"/>
      <c r="J320" s="86"/>
      <c r="K320" s="85"/>
      <c r="L320" s="85"/>
      <c r="M320" s="85"/>
      <c r="N320" s="85"/>
      <c r="O320" s="85"/>
      <c r="P320" s="85"/>
    </row>
    <row r="321" spans="1:16" ht="12.75">
      <c r="A321" s="85"/>
      <c r="B321" s="120">
        <f t="shared" si="42"/>
        <v>312</v>
      </c>
      <c r="C321" s="131">
        <f t="shared" si="43"/>
        <v>0</v>
      </c>
      <c r="D321" s="131">
        <f t="shared" si="40"/>
        <v>0</v>
      </c>
      <c r="E321" s="132">
        <f t="shared" si="44"/>
        <v>0</v>
      </c>
      <c r="F321" s="133">
        <f t="shared" si="41"/>
        <v>0</v>
      </c>
      <c r="G321" s="133">
        <f t="shared" si="46"/>
        <v>0</v>
      </c>
      <c r="H321" s="124"/>
      <c r="I321" s="84"/>
      <c r="J321" s="86"/>
      <c r="K321" s="85"/>
      <c r="L321" s="85"/>
      <c r="M321" s="85"/>
      <c r="N321" s="85"/>
      <c r="O321" s="85"/>
      <c r="P321" s="85"/>
    </row>
    <row r="322" spans="1:16" ht="12.75">
      <c r="A322" s="85"/>
      <c r="B322" s="120">
        <f t="shared" si="42"/>
        <v>313</v>
      </c>
      <c r="C322" s="131">
        <f t="shared" si="43"/>
        <v>0</v>
      </c>
      <c r="D322" s="131">
        <f t="shared" si="40"/>
        <v>0</v>
      </c>
      <c r="E322" s="132">
        <f t="shared" si="44"/>
        <v>0</v>
      </c>
      <c r="F322" s="133">
        <f t="shared" si="41"/>
        <v>0</v>
      </c>
      <c r="G322" s="133">
        <f t="shared" si="46"/>
        <v>0</v>
      </c>
      <c r="H322" s="124"/>
      <c r="I322" s="84"/>
      <c r="J322" s="86"/>
      <c r="K322" s="85"/>
      <c r="L322" s="85"/>
      <c r="M322" s="85"/>
      <c r="N322" s="85"/>
      <c r="O322" s="85"/>
      <c r="P322" s="85"/>
    </row>
    <row r="323" spans="1:16" ht="12.75">
      <c r="A323" s="85"/>
      <c r="B323" s="120">
        <f t="shared" si="42"/>
        <v>314</v>
      </c>
      <c r="C323" s="131">
        <f t="shared" si="43"/>
        <v>0</v>
      </c>
      <c r="D323" s="131">
        <f t="shared" si="40"/>
        <v>0</v>
      </c>
      <c r="E323" s="132">
        <f t="shared" si="44"/>
        <v>0</v>
      </c>
      <c r="F323" s="133">
        <f t="shared" si="41"/>
        <v>0</v>
      </c>
      <c r="G323" s="133">
        <f t="shared" si="46"/>
        <v>0</v>
      </c>
      <c r="H323" s="124"/>
      <c r="I323" s="84"/>
      <c r="J323" s="86"/>
      <c r="K323" s="85"/>
      <c r="L323" s="85"/>
      <c r="M323" s="85"/>
      <c r="N323" s="85"/>
      <c r="O323" s="85"/>
      <c r="P323" s="85"/>
    </row>
    <row r="324" spans="1:16" ht="12.75">
      <c r="A324" s="85"/>
      <c r="B324" s="120">
        <f t="shared" si="42"/>
        <v>315</v>
      </c>
      <c r="C324" s="131">
        <f t="shared" si="43"/>
        <v>0</v>
      </c>
      <c r="D324" s="131">
        <f t="shared" si="40"/>
        <v>0</v>
      </c>
      <c r="E324" s="132">
        <f t="shared" si="44"/>
        <v>0</v>
      </c>
      <c r="F324" s="133">
        <f t="shared" si="41"/>
        <v>0</v>
      </c>
      <c r="G324" s="133">
        <f t="shared" si="46"/>
        <v>0</v>
      </c>
      <c r="H324" s="124"/>
      <c r="I324" s="84"/>
      <c r="J324" s="86"/>
      <c r="K324" s="85"/>
      <c r="L324" s="85"/>
      <c r="M324" s="85"/>
      <c r="N324" s="85"/>
      <c r="O324" s="85"/>
      <c r="P324" s="85"/>
    </row>
    <row r="325" spans="1:16" ht="12.75">
      <c r="A325" s="85"/>
      <c r="B325" s="120">
        <f t="shared" si="42"/>
        <v>316</v>
      </c>
      <c r="C325" s="131">
        <f t="shared" si="43"/>
        <v>0</v>
      </c>
      <c r="D325" s="131">
        <f t="shared" si="40"/>
        <v>0</v>
      </c>
      <c r="E325" s="132">
        <f t="shared" si="44"/>
        <v>0</v>
      </c>
      <c r="F325" s="133">
        <f t="shared" si="41"/>
        <v>0</v>
      </c>
      <c r="G325" s="133">
        <f t="shared" si="46"/>
        <v>0</v>
      </c>
      <c r="H325" s="124"/>
      <c r="I325" s="84"/>
      <c r="J325" s="86"/>
      <c r="K325" s="85"/>
      <c r="L325" s="85"/>
      <c r="M325" s="85"/>
      <c r="N325" s="85"/>
      <c r="O325" s="85"/>
      <c r="P325" s="85"/>
    </row>
    <row r="326" spans="1:16" ht="12.75">
      <c r="A326" s="85"/>
      <c r="B326" s="120">
        <f t="shared" si="42"/>
        <v>317</v>
      </c>
      <c r="C326" s="131">
        <f t="shared" si="43"/>
        <v>0</v>
      </c>
      <c r="D326" s="131">
        <f t="shared" si="40"/>
        <v>0</v>
      </c>
      <c r="E326" s="132">
        <f t="shared" si="44"/>
        <v>0</v>
      </c>
      <c r="F326" s="133">
        <f t="shared" si="41"/>
        <v>0</v>
      </c>
      <c r="G326" s="133">
        <f t="shared" si="46"/>
        <v>0</v>
      </c>
      <c r="H326" s="124"/>
      <c r="I326" s="84"/>
      <c r="J326" s="86"/>
      <c r="K326" s="85"/>
      <c r="L326" s="85"/>
      <c r="M326" s="85"/>
      <c r="N326" s="85"/>
      <c r="O326" s="85"/>
      <c r="P326" s="85"/>
    </row>
    <row r="327" spans="1:16" ht="12.75">
      <c r="A327" s="85"/>
      <c r="B327" s="120">
        <f t="shared" si="42"/>
        <v>318</v>
      </c>
      <c r="C327" s="131">
        <f t="shared" si="43"/>
        <v>0</v>
      </c>
      <c r="D327" s="131">
        <f t="shared" si="40"/>
        <v>0</v>
      </c>
      <c r="E327" s="132">
        <f t="shared" si="44"/>
        <v>0</v>
      </c>
      <c r="F327" s="133">
        <f t="shared" si="41"/>
        <v>0</v>
      </c>
      <c r="G327" s="133">
        <f t="shared" si="46"/>
        <v>0</v>
      </c>
      <c r="H327" s="124"/>
      <c r="I327" s="84"/>
      <c r="J327" s="86"/>
      <c r="K327" s="85"/>
      <c r="L327" s="85"/>
      <c r="M327" s="85"/>
      <c r="N327" s="85"/>
      <c r="O327" s="85"/>
      <c r="P327" s="85"/>
    </row>
    <row r="328" spans="1:16" ht="12.75">
      <c r="A328" s="85"/>
      <c r="B328" s="120">
        <f t="shared" si="42"/>
        <v>319</v>
      </c>
      <c r="C328" s="131">
        <f t="shared" si="43"/>
        <v>0</v>
      </c>
      <c r="D328" s="131">
        <f t="shared" si="40"/>
        <v>0</v>
      </c>
      <c r="E328" s="132">
        <f t="shared" si="44"/>
        <v>0</v>
      </c>
      <c r="F328" s="133">
        <f t="shared" si="41"/>
        <v>0</v>
      </c>
      <c r="G328" s="133">
        <f t="shared" si="46"/>
        <v>0</v>
      </c>
      <c r="H328" s="124"/>
      <c r="I328" s="84"/>
      <c r="J328" s="86"/>
      <c r="K328" s="85"/>
      <c r="L328" s="85"/>
      <c r="M328" s="85"/>
      <c r="N328" s="85"/>
      <c r="O328" s="85"/>
      <c r="P328" s="85"/>
    </row>
    <row r="329" spans="1:16" ht="12.75">
      <c r="A329" s="85"/>
      <c r="B329" s="120">
        <f t="shared" si="42"/>
        <v>320</v>
      </c>
      <c r="C329" s="131">
        <f t="shared" si="43"/>
        <v>0</v>
      </c>
      <c r="D329" s="131">
        <f t="shared" si="40"/>
        <v>0</v>
      </c>
      <c r="E329" s="132">
        <f t="shared" si="44"/>
        <v>0</v>
      </c>
      <c r="F329" s="133">
        <f t="shared" si="41"/>
        <v>0</v>
      </c>
      <c r="G329" s="133">
        <f t="shared" si="46"/>
        <v>0</v>
      </c>
      <c r="H329" s="124"/>
      <c r="I329" s="84"/>
      <c r="J329" s="86"/>
      <c r="K329" s="85"/>
      <c r="L329" s="85"/>
      <c r="M329" s="85"/>
      <c r="N329" s="85"/>
      <c r="O329" s="85"/>
      <c r="P329" s="85"/>
    </row>
    <row r="330" spans="1:16" ht="12.75">
      <c r="A330" s="85"/>
      <c r="B330" s="120">
        <f t="shared" si="42"/>
        <v>321</v>
      </c>
      <c r="C330" s="131">
        <f t="shared" si="43"/>
        <v>0</v>
      </c>
      <c r="D330" s="131">
        <f aca="true" t="shared" si="47" ref="D330:D372">IF(C330&gt;0,(Rate/100)/Period*Beginning_balance,0)</f>
        <v>0</v>
      </c>
      <c r="E330" s="132">
        <f t="shared" si="44"/>
        <v>0</v>
      </c>
      <c r="F330" s="133">
        <f aca="true" t="shared" si="48" ref="F330:F372">IF(C330&gt;1,(C330-E330),0)</f>
        <v>0</v>
      </c>
      <c r="G330" s="133">
        <f t="shared" si="46"/>
        <v>0</v>
      </c>
      <c r="H330" s="124"/>
      <c r="I330" s="84"/>
      <c r="J330" s="86"/>
      <c r="K330" s="85"/>
      <c r="L330" s="85"/>
      <c r="M330" s="85"/>
      <c r="N330" s="85"/>
      <c r="O330" s="85"/>
      <c r="P330" s="85"/>
    </row>
    <row r="331" spans="1:16" ht="12.75">
      <c r="A331" s="85"/>
      <c r="B331" s="120">
        <f aca="true" t="shared" si="49" ref="B331:B372">+B330+1</f>
        <v>322</v>
      </c>
      <c r="C331" s="131">
        <f aca="true" t="shared" si="50" ref="C331:C372">IF(F330&gt;0,F330,0)</f>
        <v>0</v>
      </c>
      <c r="D331" s="131">
        <f t="shared" si="47"/>
        <v>0</v>
      </c>
      <c r="E331" s="132">
        <f aca="true" t="shared" si="51" ref="E331:E372">IF(C331&lt;1,0,(Payment-Interest))</f>
        <v>0</v>
      </c>
      <c r="F331" s="133">
        <f t="shared" si="48"/>
        <v>0</v>
      </c>
      <c r="G331" s="133">
        <f t="shared" si="46"/>
        <v>0</v>
      </c>
      <c r="H331" s="124"/>
      <c r="I331" s="84"/>
      <c r="J331" s="86"/>
      <c r="K331" s="85"/>
      <c r="L331" s="85"/>
      <c r="M331" s="85"/>
      <c r="N331" s="85"/>
      <c r="O331" s="85"/>
      <c r="P331" s="85"/>
    </row>
    <row r="332" spans="1:16" ht="12.75">
      <c r="A332" s="85"/>
      <c r="B332" s="120">
        <f t="shared" si="49"/>
        <v>323</v>
      </c>
      <c r="C332" s="131">
        <f t="shared" si="50"/>
        <v>0</v>
      </c>
      <c r="D332" s="131">
        <f t="shared" si="47"/>
        <v>0</v>
      </c>
      <c r="E332" s="132">
        <f t="shared" si="51"/>
        <v>0</v>
      </c>
      <c r="F332" s="133">
        <f t="shared" si="48"/>
        <v>0</v>
      </c>
      <c r="G332" s="133">
        <f t="shared" si="46"/>
        <v>0</v>
      </c>
      <c r="H332" s="124"/>
      <c r="I332" s="84"/>
      <c r="J332" s="86"/>
      <c r="K332" s="85"/>
      <c r="L332" s="85"/>
      <c r="M332" s="85"/>
      <c r="N332" s="85"/>
      <c r="O332" s="85"/>
      <c r="P332" s="85"/>
    </row>
    <row r="333" spans="1:16" ht="12.75">
      <c r="A333" s="85"/>
      <c r="B333" s="120">
        <f t="shared" si="49"/>
        <v>324</v>
      </c>
      <c r="C333" s="131">
        <f t="shared" si="50"/>
        <v>0</v>
      </c>
      <c r="D333" s="131">
        <f t="shared" si="47"/>
        <v>0</v>
      </c>
      <c r="E333" s="132">
        <f t="shared" si="51"/>
        <v>0</v>
      </c>
      <c r="F333" s="133">
        <f t="shared" si="48"/>
        <v>0</v>
      </c>
      <c r="G333" s="133">
        <f t="shared" si="46"/>
        <v>0</v>
      </c>
      <c r="H333" s="124"/>
      <c r="I333" s="84"/>
      <c r="J333" s="86"/>
      <c r="K333" s="85"/>
      <c r="L333" s="85"/>
      <c r="M333" s="85"/>
      <c r="N333" s="85"/>
      <c r="O333" s="85"/>
      <c r="P333" s="85"/>
    </row>
    <row r="334" spans="1:16" ht="12.75">
      <c r="A334" s="85"/>
      <c r="B334" s="120">
        <f t="shared" si="49"/>
        <v>325</v>
      </c>
      <c r="C334" s="131">
        <f t="shared" si="50"/>
        <v>0</v>
      </c>
      <c r="D334" s="131">
        <f t="shared" si="47"/>
        <v>0</v>
      </c>
      <c r="E334" s="132">
        <f t="shared" si="51"/>
        <v>0</v>
      </c>
      <c r="F334" s="133">
        <f t="shared" si="48"/>
        <v>0</v>
      </c>
      <c r="G334" s="133">
        <f t="shared" si="46"/>
        <v>0</v>
      </c>
      <c r="H334" s="124"/>
      <c r="I334" s="84"/>
      <c r="J334" s="86"/>
      <c r="K334" s="85"/>
      <c r="L334" s="85"/>
      <c r="M334" s="85"/>
      <c r="N334" s="85"/>
      <c r="O334" s="85"/>
      <c r="P334" s="85"/>
    </row>
    <row r="335" spans="1:16" ht="12.75">
      <c r="A335" s="85"/>
      <c r="B335" s="120">
        <f t="shared" si="49"/>
        <v>326</v>
      </c>
      <c r="C335" s="131">
        <f t="shared" si="50"/>
        <v>0</v>
      </c>
      <c r="D335" s="131">
        <f t="shared" si="47"/>
        <v>0</v>
      </c>
      <c r="E335" s="132">
        <f t="shared" si="51"/>
        <v>0</v>
      </c>
      <c r="F335" s="133">
        <f t="shared" si="48"/>
        <v>0</v>
      </c>
      <c r="G335" s="133">
        <f t="shared" si="46"/>
        <v>0</v>
      </c>
      <c r="H335" s="124"/>
      <c r="I335" s="84"/>
      <c r="J335" s="86"/>
      <c r="K335" s="85"/>
      <c r="L335" s="85"/>
      <c r="M335" s="85"/>
      <c r="N335" s="85"/>
      <c r="O335" s="85"/>
      <c r="P335" s="85"/>
    </row>
    <row r="336" spans="1:16" ht="12.75">
      <c r="A336" s="85"/>
      <c r="B336" s="120">
        <f t="shared" si="49"/>
        <v>327</v>
      </c>
      <c r="C336" s="131">
        <f t="shared" si="50"/>
        <v>0</v>
      </c>
      <c r="D336" s="131">
        <f t="shared" si="47"/>
        <v>0</v>
      </c>
      <c r="E336" s="132">
        <f t="shared" si="51"/>
        <v>0</v>
      </c>
      <c r="F336" s="133">
        <f t="shared" si="48"/>
        <v>0</v>
      </c>
      <c r="G336" s="133">
        <f t="shared" si="46"/>
        <v>0</v>
      </c>
      <c r="H336" s="124"/>
      <c r="I336" s="84"/>
      <c r="J336" s="86"/>
      <c r="K336" s="85"/>
      <c r="L336" s="85"/>
      <c r="M336" s="85"/>
      <c r="N336" s="85"/>
      <c r="O336" s="85"/>
      <c r="P336" s="85"/>
    </row>
    <row r="337" spans="1:16" ht="12.75">
      <c r="A337" s="85"/>
      <c r="B337" s="120">
        <f t="shared" si="49"/>
        <v>328</v>
      </c>
      <c r="C337" s="131">
        <f t="shared" si="50"/>
        <v>0</v>
      </c>
      <c r="D337" s="131">
        <f t="shared" si="47"/>
        <v>0</v>
      </c>
      <c r="E337" s="132">
        <f t="shared" si="51"/>
        <v>0</v>
      </c>
      <c r="F337" s="133">
        <f t="shared" si="48"/>
        <v>0</v>
      </c>
      <c r="G337" s="133">
        <f t="shared" si="46"/>
        <v>0</v>
      </c>
      <c r="H337" s="124"/>
      <c r="I337" s="84"/>
      <c r="J337" s="86"/>
      <c r="K337" s="85"/>
      <c r="L337" s="85"/>
      <c r="M337" s="85"/>
      <c r="N337" s="85"/>
      <c r="O337" s="85"/>
      <c r="P337" s="85"/>
    </row>
    <row r="338" spans="1:16" ht="12.75">
      <c r="A338" s="85"/>
      <c r="B338" s="120">
        <f t="shared" si="49"/>
        <v>329</v>
      </c>
      <c r="C338" s="131">
        <f t="shared" si="50"/>
        <v>0</v>
      </c>
      <c r="D338" s="131">
        <f t="shared" si="47"/>
        <v>0</v>
      </c>
      <c r="E338" s="132">
        <f t="shared" si="51"/>
        <v>0</v>
      </c>
      <c r="F338" s="133">
        <f t="shared" si="48"/>
        <v>0</v>
      </c>
      <c r="G338" s="133">
        <f t="shared" si="46"/>
        <v>0</v>
      </c>
      <c r="H338" s="124"/>
      <c r="I338" s="84"/>
      <c r="J338" s="86"/>
      <c r="K338" s="85"/>
      <c r="L338" s="85"/>
      <c r="M338" s="85"/>
      <c r="N338" s="85"/>
      <c r="O338" s="85"/>
      <c r="P338" s="85"/>
    </row>
    <row r="339" spans="1:16" ht="12.75">
      <c r="A339" s="85"/>
      <c r="B339" s="120">
        <f t="shared" si="49"/>
        <v>330</v>
      </c>
      <c r="C339" s="131">
        <f t="shared" si="50"/>
        <v>0</v>
      </c>
      <c r="D339" s="131">
        <f t="shared" si="47"/>
        <v>0</v>
      </c>
      <c r="E339" s="132">
        <f t="shared" si="51"/>
        <v>0</v>
      </c>
      <c r="F339" s="133">
        <f t="shared" si="48"/>
        <v>0</v>
      </c>
      <c r="G339" s="133">
        <f t="shared" si="46"/>
        <v>0</v>
      </c>
      <c r="H339" s="124"/>
      <c r="I339" s="84"/>
      <c r="J339" s="86"/>
      <c r="K339" s="85"/>
      <c r="L339" s="85"/>
      <c r="M339" s="85"/>
      <c r="N339" s="85"/>
      <c r="O339" s="85"/>
      <c r="P339" s="85"/>
    </row>
    <row r="340" spans="1:16" ht="12.75">
      <c r="A340" s="85"/>
      <c r="B340" s="120">
        <f t="shared" si="49"/>
        <v>331</v>
      </c>
      <c r="C340" s="131">
        <f t="shared" si="50"/>
        <v>0</v>
      </c>
      <c r="D340" s="131">
        <f t="shared" si="47"/>
        <v>0</v>
      </c>
      <c r="E340" s="132">
        <f t="shared" si="51"/>
        <v>0</v>
      </c>
      <c r="F340" s="133">
        <f t="shared" si="48"/>
        <v>0</v>
      </c>
      <c r="G340" s="133">
        <f t="shared" si="46"/>
        <v>0</v>
      </c>
      <c r="H340" s="124"/>
      <c r="I340" s="84"/>
      <c r="J340" s="86"/>
      <c r="K340" s="85"/>
      <c r="L340" s="85"/>
      <c r="M340" s="85"/>
      <c r="N340" s="85"/>
      <c r="O340" s="85"/>
      <c r="P340" s="85"/>
    </row>
    <row r="341" spans="1:16" ht="12.75">
      <c r="A341" s="85"/>
      <c r="B341" s="120">
        <f t="shared" si="49"/>
        <v>332</v>
      </c>
      <c r="C341" s="131">
        <f t="shared" si="50"/>
        <v>0</v>
      </c>
      <c r="D341" s="131">
        <f t="shared" si="47"/>
        <v>0</v>
      </c>
      <c r="E341" s="132">
        <f t="shared" si="51"/>
        <v>0</v>
      </c>
      <c r="F341" s="133">
        <f t="shared" si="48"/>
        <v>0</v>
      </c>
      <c r="G341" s="133">
        <f t="shared" si="46"/>
        <v>0</v>
      </c>
      <c r="H341" s="124"/>
      <c r="I341" s="84"/>
      <c r="J341" s="86"/>
      <c r="K341" s="85"/>
      <c r="L341" s="85"/>
      <c r="M341" s="85"/>
      <c r="N341" s="85"/>
      <c r="O341" s="85"/>
      <c r="P341" s="85"/>
    </row>
    <row r="342" spans="1:16" ht="12.75">
      <c r="A342" s="85"/>
      <c r="B342" s="120">
        <f t="shared" si="49"/>
        <v>333</v>
      </c>
      <c r="C342" s="131">
        <f t="shared" si="50"/>
        <v>0</v>
      </c>
      <c r="D342" s="131">
        <f t="shared" si="47"/>
        <v>0</v>
      </c>
      <c r="E342" s="132">
        <f t="shared" si="51"/>
        <v>0</v>
      </c>
      <c r="F342" s="133">
        <f t="shared" si="48"/>
        <v>0</v>
      </c>
      <c r="G342" s="133">
        <f t="shared" si="46"/>
        <v>0</v>
      </c>
      <c r="H342" s="124"/>
      <c r="I342" s="84"/>
      <c r="J342" s="86"/>
      <c r="K342" s="85"/>
      <c r="L342" s="85"/>
      <c r="M342" s="85"/>
      <c r="N342" s="85"/>
      <c r="O342" s="85"/>
      <c r="P342" s="85"/>
    </row>
    <row r="343" spans="1:16" ht="12.75">
      <c r="A343" s="85"/>
      <c r="B343" s="120">
        <f t="shared" si="49"/>
        <v>334</v>
      </c>
      <c r="C343" s="131">
        <f t="shared" si="50"/>
        <v>0</v>
      </c>
      <c r="D343" s="131">
        <f t="shared" si="47"/>
        <v>0</v>
      </c>
      <c r="E343" s="132">
        <f t="shared" si="51"/>
        <v>0</v>
      </c>
      <c r="F343" s="133">
        <f t="shared" si="48"/>
        <v>0</v>
      </c>
      <c r="G343" s="133">
        <f t="shared" si="46"/>
        <v>0</v>
      </c>
      <c r="H343" s="124"/>
      <c r="I343" s="84"/>
      <c r="J343" s="86"/>
      <c r="K343" s="85"/>
      <c r="L343" s="85"/>
      <c r="M343" s="85"/>
      <c r="N343" s="85"/>
      <c r="O343" s="85"/>
      <c r="P343" s="85"/>
    </row>
    <row r="344" spans="1:16" ht="12.75">
      <c r="A344" s="85"/>
      <c r="B344" s="120">
        <f t="shared" si="49"/>
        <v>335</v>
      </c>
      <c r="C344" s="131">
        <f t="shared" si="50"/>
        <v>0</v>
      </c>
      <c r="D344" s="131">
        <f t="shared" si="47"/>
        <v>0</v>
      </c>
      <c r="E344" s="132">
        <f t="shared" si="51"/>
        <v>0</v>
      </c>
      <c r="F344" s="133">
        <f t="shared" si="48"/>
        <v>0</v>
      </c>
      <c r="G344" s="133">
        <f t="shared" si="46"/>
        <v>0</v>
      </c>
      <c r="H344" s="124"/>
      <c r="I344" s="84"/>
      <c r="J344" s="86"/>
      <c r="K344" s="85"/>
      <c r="L344" s="85"/>
      <c r="M344" s="85"/>
      <c r="N344" s="85"/>
      <c r="O344" s="85"/>
      <c r="P344" s="85"/>
    </row>
    <row r="345" spans="1:16" ht="12.75">
      <c r="A345" s="85"/>
      <c r="B345" s="120">
        <f t="shared" si="49"/>
        <v>336</v>
      </c>
      <c r="C345" s="131">
        <f t="shared" si="50"/>
        <v>0</v>
      </c>
      <c r="D345" s="131">
        <f t="shared" si="47"/>
        <v>0</v>
      </c>
      <c r="E345" s="132">
        <f t="shared" si="51"/>
        <v>0</v>
      </c>
      <c r="F345" s="133">
        <f t="shared" si="48"/>
        <v>0</v>
      </c>
      <c r="G345" s="133">
        <f t="shared" si="46"/>
        <v>0</v>
      </c>
      <c r="H345" s="124"/>
      <c r="I345" s="84"/>
      <c r="J345" s="86"/>
      <c r="K345" s="85"/>
      <c r="L345" s="85"/>
      <c r="M345" s="85"/>
      <c r="N345" s="85"/>
      <c r="O345" s="85"/>
      <c r="P345" s="85"/>
    </row>
    <row r="346" spans="1:16" ht="12.75">
      <c r="A346" s="85"/>
      <c r="B346" s="120">
        <f t="shared" si="49"/>
        <v>337</v>
      </c>
      <c r="C346" s="131">
        <f t="shared" si="50"/>
        <v>0</v>
      </c>
      <c r="D346" s="131">
        <f t="shared" si="47"/>
        <v>0</v>
      </c>
      <c r="E346" s="132">
        <f t="shared" si="51"/>
        <v>0</v>
      </c>
      <c r="F346" s="133">
        <f t="shared" si="48"/>
        <v>0</v>
      </c>
      <c r="G346" s="133">
        <f t="shared" si="46"/>
        <v>0</v>
      </c>
      <c r="H346" s="124"/>
      <c r="I346" s="84"/>
      <c r="J346" s="86"/>
      <c r="K346" s="85"/>
      <c r="L346" s="85"/>
      <c r="M346" s="85"/>
      <c r="N346" s="85"/>
      <c r="O346" s="85"/>
      <c r="P346" s="85"/>
    </row>
    <row r="347" spans="1:16" ht="12.75">
      <c r="A347" s="85"/>
      <c r="B347" s="120">
        <f t="shared" si="49"/>
        <v>338</v>
      </c>
      <c r="C347" s="131">
        <f t="shared" si="50"/>
        <v>0</v>
      </c>
      <c r="D347" s="131">
        <f t="shared" si="47"/>
        <v>0</v>
      </c>
      <c r="E347" s="132">
        <f t="shared" si="51"/>
        <v>0</v>
      </c>
      <c r="F347" s="133">
        <f t="shared" si="48"/>
        <v>0</v>
      </c>
      <c r="G347" s="133">
        <f t="shared" si="46"/>
        <v>0</v>
      </c>
      <c r="H347" s="124"/>
      <c r="I347" s="84"/>
      <c r="J347" s="86"/>
      <c r="K347" s="85"/>
      <c r="L347" s="85"/>
      <c r="M347" s="85"/>
      <c r="N347" s="85"/>
      <c r="O347" s="85"/>
      <c r="P347" s="85"/>
    </row>
    <row r="348" spans="1:16" ht="12.75">
      <c r="A348" s="85"/>
      <c r="B348" s="120">
        <f t="shared" si="49"/>
        <v>339</v>
      </c>
      <c r="C348" s="131">
        <f t="shared" si="50"/>
        <v>0</v>
      </c>
      <c r="D348" s="131">
        <f t="shared" si="47"/>
        <v>0</v>
      </c>
      <c r="E348" s="132">
        <f t="shared" si="51"/>
        <v>0</v>
      </c>
      <c r="F348" s="133">
        <f t="shared" si="48"/>
        <v>0</v>
      </c>
      <c r="G348" s="133">
        <f t="shared" si="46"/>
        <v>0</v>
      </c>
      <c r="H348" s="124"/>
      <c r="I348" s="84"/>
      <c r="J348" s="86"/>
      <c r="K348" s="85"/>
      <c r="L348" s="85"/>
      <c r="M348" s="85"/>
      <c r="N348" s="85"/>
      <c r="O348" s="85"/>
      <c r="P348" s="85"/>
    </row>
    <row r="349" spans="1:16" ht="12.75">
      <c r="A349" s="85"/>
      <c r="B349" s="120">
        <f t="shared" si="49"/>
        <v>340</v>
      </c>
      <c r="C349" s="131">
        <f t="shared" si="50"/>
        <v>0</v>
      </c>
      <c r="D349" s="131">
        <f t="shared" si="47"/>
        <v>0</v>
      </c>
      <c r="E349" s="132">
        <f t="shared" si="51"/>
        <v>0</v>
      </c>
      <c r="F349" s="133">
        <f t="shared" si="48"/>
        <v>0</v>
      </c>
      <c r="G349" s="133">
        <f t="shared" si="46"/>
        <v>0</v>
      </c>
      <c r="H349" s="124"/>
      <c r="I349" s="84"/>
      <c r="J349" s="86"/>
      <c r="K349" s="85"/>
      <c r="L349" s="85"/>
      <c r="M349" s="85"/>
      <c r="N349" s="85"/>
      <c r="O349" s="85"/>
      <c r="P349" s="85"/>
    </row>
    <row r="350" spans="1:16" ht="12.75">
      <c r="A350" s="85"/>
      <c r="B350" s="120">
        <f t="shared" si="49"/>
        <v>341</v>
      </c>
      <c r="C350" s="131">
        <f t="shared" si="50"/>
        <v>0</v>
      </c>
      <c r="D350" s="131">
        <f t="shared" si="47"/>
        <v>0</v>
      </c>
      <c r="E350" s="132">
        <f t="shared" si="51"/>
        <v>0</v>
      </c>
      <c r="F350" s="133">
        <f t="shared" si="48"/>
        <v>0</v>
      </c>
      <c r="G350" s="133">
        <f aca="true" t="shared" si="52" ref="G350:G372">G349+D350</f>
        <v>0</v>
      </c>
      <c r="H350" s="124"/>
      <c r="I350" s="84"/>
      <c r="J350" s="86"/>
      <c r="K350" s="85"/>
      <c r="L350" s="85"/>
      <c r="M350" s="85"/>
      <c r="N350" s="85"/>
      <c r="O350" s="85"/>
      <c r="P350" s="85"/>
    </row>
    <row r="351" spans="1:16" ht="12.75">
      <c r="A351" s="85"/>
      <c r="B351" s="120">
        <f t="shared" si="49"/>
        <v>342</v>
      </c>
      <c r="C351" s="131">
        <f t="shared" si="50"/>
        <v>0</v>
      </c>
      <c r="D351" s="131">
        <f t="shared" si="47"/>
        <v>0</v>
      </c>
      <c r="E351" s="132">
        <f t="shared" si="51"/>
        <v>0</v>
      </c>
      <c r="F351" s="133">
        <f t="shared" si="48"/>
        <v>0</v>
      </c>
      <c r="G351" s="133">
        <f t="shared" si="52"/>
        <v>0</v>
      </c>
      <c r="H351" s="124"/>
      <c r="I351" s="84"/>
      <c r="J351" s="86"/>
      <c r="K351" s="85"/>
      <c r="L351" s="85"/>
      <c r="M351" s="85"/>
      <c r="N351" s="85"/>
      <c r="O351" s="85"/>
      <c r="P351" s="85"/>
    </row>
    <row r="352" spans="1:16" ht="12.75">
      <c r="A352" s="85"/>
      <c r="B352" s="120">
        <f t="shared" si="49"/>
        <v>343</v>
      </c>
      <c r="C352" s="131">
        <f t="shared" si="50"/>
        <v>0</v>
      </c>
      <c r="D352" s="131">
        <f t="shared" si="47"/>
        <v>0</v>
      </c>
      <c r="E352" s="132">
        <f t="shared" si="51"/>
        <v>0</v>
      </c>
      <c r="F352" s="133">
        <f t="shared" si="48"/>
        <v>0</v>
      </c>
      <c r="G352" s="133">
        <f t="shared" si="52"/>
        <v>0</v>
      </c>
      <c r="H352" s="124"/>
      <c r="I352" s="84"/>
      <c r="J352" s="86"/>
      <c r="K352" s="85"/>
      <c r="L352" s="85"/>
      <c r="M352" s="85"/>
      <c r="N352" s="85"/>
      <c r="O352" s="85"/>
      <c r="P352" s="85"/>
    </row>
    <row r="353" spans="1:16" ht="12.75">
      <c r="A353" s="85"/>
      <c r="B353" s="120">
        <f t="shared" si="49"/>
        <v>344</v>
      </c>
      <c r="C353" s="131">
        <f t="shared" si="50"/>
        <v>0</v>
      </c>
      <c r="D353" s="131">
        <f t="shared" si="47"/>
        <v>0</v>
      </c>
      <c r="E353" s="132">
        <f t="shared" si="51"/>
        <v>0</v>
      </c>
      <c r="F353" s="133">
        <f t="shared" si="48"/>
        <v>0</v>
      </c>
      <c r="G353" s="133">
        <f t="shared" si="52"/>
        <v>0</v>
      </c>
      <c r="H353" s="124"/>
      <c r="I353" s="84"/>
      <c r="J353" s="86"/>
      <c r="K353" s="85"/>
      <c r="L353" s="85"/>
      <c r="M353" s="85"/>
      <c r="N353" s="85"/>
      <c r="O353" s="85"/>
      <c r="P353" s="85"/>
    </row>
    <row r="354" spans="1:16" ht="12.75">
      <c r="A354" s="85"/>
      <c r="B354" s="120">
        <f t="shared" si="49"/>
        <v>345</v>
      </c>
      <c r="C354" s="131">
        <f t="shared" si="50"/>
        <v>0</v>
      </c>
      <c r="D354" s="131">
        <f t="shared" si="47"/>
        <v>0</v>
      </c>
      <c r="E354" s="132">
        <f t="shared" si="51"/>
        <v>0</v>
      </c>
      <c r="F354" s="133">
        <f t="shared" si="48"/>
        <v>0</v>
      </c>
      <c r="G354" s="133">
        <f t="shared" si="52"/>
        <v>0</v>
      </c>
      <c r="H354" s="124"/>
      <c r="I354" s="84"/>
      <c r="J354" s="86"/>
      <c r="K354" s="85"/>
      <c r="L354" s="85"/>
      <c r="M354" s="85"/>
      <c r="N354" s="85"/>
      <c r="O354" s="85"/>
      <c r="P354" s="85"/>
    </row>
    <row r="355" spans="1:16" ht="12.75">
      <c r="A355" s="85"/>
      <c r="B355" s="120">
        <f t="shared" si="49"/>
        <v>346</v>
      </c>
      <c r="C355" s="131">
        <f t="shared" si="50"/>
        <v>0</v>
      </c>
      <c r="D355" s="131">
        <f t="shared" si="47"/>
        <v>0</v>
      </c>
      <c r="E355" s="132">
        <f t="shared" si="51"/>
        <v>0</v>
      </c>
      <c r="F355" s="133">
        <f t="shared" si="48"/>
        <v>0</v>
      </c>
      <c r="G355" s="133">
        <f t="shared" si="52"/>
        <v>0</v>
      </c>
      <c r="H355" s="124"/>
      <c r="I355" s="84"/>
      <c r="J355" s="86"/>
      <c r="K355" s="85"/>
      <c r="L355" s="85"/>
      <c r="M355" s="85"/>
      <c r="N355" s="85"/>
      <c r="O355" s="85"/>
      <c r="P355" s="85"/>
    </row>
    <row r="356" spans="1:16" ht="12.75">
      <c r="A356" s="85"/>
      <c r="B356" s="120">
        <f t="shared" si="49"/>
        <v>347</v>
      </c>
      <c r="C356" s="131">
        <f t="shared" si="50"/>
        <v>0</v>
      </c>
      <c r="D356" s="131">
        <f t="shared" si="47"/>
        <v>0</v>
      </c>
      <c r="E356" s="132">
        <f t="shared" si="51"/>
        <v>0</v>
      </c>
      <c r="F356" s="133">
        <f t="shared" si="48"/>
        <v>0</v>
      </c>
      <c r="G356" s="133">
        <f t="shared" si="52"/>
        <v>0</v>
      </c>
      <c r="H356" s="124"/>
      <c r="I356" s="84"/>
      <c r="J356" s="86"/>
      <c r="K356" s="85"/>
      <c r="L356" s="85"/>
      <c r="M356" s="85"/>
      <c r="N356" s="85"/>
      <c r="O356" s="85"/>
      <c r="P356" s="85"/>
    </row>
    <row r="357" spans="1:16" ht="12.75">
      <c r="A357" s="85"/>
      <c r="B357" s="120">
        <f t="shared" si="49"/>
        <v>348</v>
      </c>
      <c r="C357" s="131">
        <f t="shared" si="50"/>
        <v>0</v>
      </c>
      <c r="D357" s="131">
        <f t="shared" si="47"/>
        <v>0</v>
      </c>
      <c r="E357" s="132">
        <f t="shared" si="51"/>
        <v>0</v>
      </c>
      <c r="F357" s="133">
        <f t="shared" si="48"/>
        <v>0</v>
      </c>
      <c r="G357" s="133">
        <f t="shared" si="52"/>
        <v>0</v>
      </c>
      <c r="H357" s="124"/>
      <c r="I357" s="84"/>
      <c r="J357" s="86"/>
      <c r="K357" s="85"/>
      <c r="L357" s="85"/>
      <c r="M357" s="85"/>
      <c r="N357" s="85"/>
      <c r="O357" s="85"/>
      <c r="P357" s="85"/>
    </row>
    <row r="358" spans="1:16" ht="12.75">
      <c r="A358" s="85"/>
      <c r="B358" s="120">
        <f t="shared" si="49"/>
        <v>349</v>
      </c>
      <c r="C358" s="131">
        <f t="shared" si="50"/>
        <v>0</v>
      </c>
      <c r="D358" s="131">
        <f t="shared" si="47"/>
        <v>0</v>
      </c>
      <c r="E358" s="132">
        <f t="shared" si="51"/>
        <v>0</v>
      </c>
      <c r="F358" s="133">
        <f t="shared" si="48"/>
        <v>0</v>
      </c>
      <c r="G358" s="133">
        <f t="shared" si="52"/>
        <v>0</v>
      </c>
      <c r="H358" s="124"/>
      <c r="I358" s="84"/>
      <c r="J358" s="86"/>
      <c r="K358" s="85"/>
      <c r="L358" s="85"/>
      <c r="M358" s="85"/>
      <c r="N358" s="85"/>
      <c r="O358" s="85"/>
      <c r="P358" s="85"/>
    </row>
    <row r="359" spans="1:16" ht="12.75">
      <c r="A359" s="85"/>
      <c r="B359" s="120">
        <f t="shared" si="49"/>
        <v>350</v>
      </c>
      <c r="C359" s="131">
        <f t="shared" si="50"/>
        <v>0</v>
      </c>
      <c r="D359" s="131">
        <f t="shared" si="47"/>
        <v>0</v>
      </c>
      <c r="E359" s="132">
        <f t="shared" si="51"/>
        <v>0</v>
      </c>
      <c r="F359" s="133">
        <f t="shared" si="48"/>
        <v>0</v>
      </c>
      <c r="G359" s="133">
        <f t="shared" si="52"/>
        <v>0</v>
      </c>
      <c r="H359" s="124"/>
      <c r="I359" s="84"/>
      <c r="J359" s="86"/>
      <c r="K359" s="85"/>
      <c r="L359" s="85"/>
      <c r="M359" s="85"/>
      <c r="N359" s="85"/>
      <c r="O359" s="85"/>
      <c r="P359" s="85"/>
    </row>
    <row r="360" spans="1:16" ht="12.75">
      <c r="A360" s="85"/>
      <c r="B360" s="120">
        <f t="shared" si="49"/>
        <v>351</v>
      </c>
      <c r="C360" s="131">
        <f t="shared" si="50"/>
        <v>0</v>
      </c>
      <c r="D360" s="131">
        <f t="shared" si="47"/>
        <v>0</v>
      </c>
      <c r="E360" s="132">
        <f t="shared" si="51"/>
        <v>0</v>
      </c>
      <c r="F360" s="133">
        <f t="shared" si="48"/>
        <v>0</v>
      </c>
      <c r="G360" s="133">
        <f t="shared" si="52"/>
        <v>0</v>
      </c>
      <c r="H360" s="124"/>
      <c r="I360" s="84"/>
      <c r="J360" s="86"/>
      <c r="K360" s="85"/>
      <c r="L360" s="85"/>
      <c r="M360" s="85"/>
      <c r="N360" s="85"/>
      <c r="O360" s="85"/>
      <c r="P360" s="85"/>
    </row>
    <row r="361" spans="1:16" ht="12.75">
      <c r="A361" s="85"/>
      <c r="B361" s="120">
        <f t="shared" si="49"/>
        <v>352</v>
      </c>
      <c r="C361" s="131">
        <f t="shared" si="50"/>
        <v>0</v>
      </c>
      <c r="D361" s="131">
        <f t="shared" si="47"/>
        <v>0</v>
      </c>
      <c r="E361" s="132">
        <f t="shared" si="51"/>
        <v>0</v>
      </c>
      <c r="F361" s="133">
        <f t="shared" si="48"/>
        <v>0</v>
      </c>
      <c r="G361" s="133">
        <f t="shared" si="52"/>
        <v>0</v>
      </c>
      <c r="H361" s="124"/>
      <c r="I361" s="84"/>
      <c r="J361" s="86"/>
      <c r="K361" s="85"/>
      <c r="L361" s="85"/>
      <c r="M361" s="85"/>
      <c r="N361" s="85"/>
      <c r="O361" s="85"/>
      <c r="P361" s="85"/>
    </row>
    <row r="362" spans="1:16" ht="12.75">
      <c r="A362" s="85"/>
      <c r="B362" s="120">
        <f t="shared" si="49"/>
        <v>353</v>
      </c>
      <c r="C362" s="131">
        <f t="shared" si="50"/>
        <v>0</v>
      </c>
      <c r="D362" s="131">
        <f t="shared" si="47"/>
        <v>0</v>
      </c>
      <c r="E362" s="132">
        <f t="shared" si="51"/>
        <v>0</v>
      </c>
      <c r="F362" s="133">
        <f t="shared" si="48"/>
        <v>0</v>
      </c>
      <c r="G362" s="133">
        <f t="shared" si="52"/>
        <v>0</v>
      </c>
      <c r="H362" s="124"/>
      <c r="I362" s="84"/>
      <c r="J362" s="86"/>
      <c r="K362" s="85"/>
      <c r="L362" s="85"/>
      <c r="M362" s="85"/>
      <c r="N362" s="85"/>
      <c r="O362" s="85"/>
      <c r="P362" s="85"/>
    </row>
    <row r="363" spans="1:16" ht="12.75">
      <c r="A363" s="85"/>
      <c r="B363" s="120">
        <f t="shared" si="49"/>
        <v>354</v>
      </c>
      <c r="C363" s="131">
        <f t="shared" si="50"/>
        <v>0</v>
      </c>
      <c r="D363" s="131">
        <f t="shared" si="47"/>
        <v>0</v>
      </c>
      <c r="E363" s="132">
        <f t="shared" si="51"/>
        <v>0</v>
      </c>
      <c r="F363" s="133">
        <f t="shared" si="48"/>
        <v>0</v>
      </c>
      <c r="G363" s="133">
        <f t="shared" si="52"/>
        <v>0</v>
      </c>
      <c r="H363" s="124"/>
      <c r="I363" s="84"/>
      <c r="J363" s="86"/>
      <c r="K363" s="85"/>
      <c r="L363" s="85"/>
      <c r="M363" s="85"/>
      <c r="N363" s="85"/>
      <c r="O363" s="85"/>
      <c r="P363" s="85"/>
    </row>
    <row r="364" spans="1:16" ht="12.75">
      <c r="A364" s="85"/>
      <c r="B364" s="120">
        <f t="shared" si="49"/>
        <v>355</v>
      </c>
      <c r="C364" s="131">
        <f t="shared" si="50"/>
        <v>0</v>
      </c>
      <c r="D364" s="131">
        <f t="shared" si="47"/>
        <v>0</v>
      </c>
      <c r="E364" s="132">
        <f t="shared" si="51"/>
        <v>0</v>
      </c>
      <c r="F364" s="133">
        <f t="shared" si="48"/>
        <v>0</v>
      </c>
      <c r="G364" s="133">
        <f t="shared" si="52"/>
        <v>0</v>
      </c>
      <c r="H364" s="124"/>
      <c r="I364" s="84"/>
      <c r="J364" s="86"/>
      <c r="K364" s="85"/>
      <c r="L364" s="85"/>
      <c r="M364" s="85"/>
      <c r="N364" s="85"/>
      <c r="O364" s="85"/>
      <c r="P364" s="85"/>
    </row>
    <row r="365" spans="1:16" ht="12.75">
      <c r="A365" s="85"/>
      <c r="B365" s="120">
        <f t="shared" si="49"/>
        <v>356</v>
      </c>
      <c r="C365" s="131">
        <f t="shared" si="50"/>
        <v>0</v>
      </c>
      <c r="D365" s="131">
        <f t="shared" si="47"/>
        <v>0</v>
      </c>
      <c r="E365" s="132">
        <f t="shared" si="51"/>
        <v>0</v>
      </c>
      <c r="F365" s="133">
        <f t="shared" si="48"/>
        <v>0</v>
      </c>
      <c r="G365" s="133">
        <f t="shared" si="52"/>
        <v>0</v>
      </c>
      <c r="H365" s="124"/>
      <c r="I365" s="84"/>
      <c r="J365" s="86"/>
      <c r="K365" s="85"/>
      <c r="L365" s="85"/>
      <c r="M365" s="85"/>
      <c r="N365" s="85"/>
      <c r="O365" s="85"/>
      <c r="P365" s="85"/>
    </row>
    <row r="366" spans="1:16" ht="12.75">
      <c r="A366" s="85"/>
      <c r="B366" s="120">
        <f t="shared" si="49"/>
        <v>357</v>
      </c>
      <c r="C366" s="131">
        <f t="shared" si="50"/>
        <v>0</v>
      </c>
      <c r="D366" s="131">
        <f t="shared" si="47"/>
        <v>0</v>
      </c>
      <c r="E366" s="132">
        <f t="shared" si="51"/>
        <v>0</v>
      </c>
      <c r="F366" s="133">
        <f t="shared" si="48"/>
        <v>0</v>
      </c>
      <c r="G366" s="133">
        <f t="shared" si="52"/>
        <v>0</v>
      </c>
      <c r="H366" s="124"/>
      <c r="I366" s="84"/>
      <c r="J366" s="86"/>
      <c r="K366" s="85"/>
      <c r="L366" s="85"/>
      <c r="M366" s="85"/>
      <c r="N366" s="85"/>
      <c r="O366" s="85"/>
      <c r="P366" s="85"/>
    </row>
    <row r="367" spans="1:16" ht="12.75">
      <c r="A367" s="85"/>
      <c r="B367" s="120">
        <f t="shared" si="49"/>
        <v>358</v>
      </c>
      <c r="C367" s="131">
        <f t="shared" si="50"/>
        <v>0</v>
      </c>
      <c r="D367" s="131">
        <f t="shared" si="47"/>
        <v>0</v>
      </c>
      <c r="E367" s="132">
        <f t="shared" si="51"/>
        <v>0</v>
      </c>
      <c r="F367" s="133">
        <f t="shared" si="48"/>
        <v>0</v>
      </c>
      <c r="G367" s="133">
        <f t="shared" si="52"/>
        <v>0</v>
      </c>
      <c r="H367" s="124"/>
      <c r="I367" s="84"/>
      <c r="J367" s="86"/>
      <c r="K367" s="85"/>
      <c r="L367" s="85"/>
      <c r="M367" s="85"/>
      <c r="N367" s="85"/>
      <c r="O367" s="85"/>
      <c r="P367" s="85"/>
    </row>
    <row r="368" spans="1:16" ht="12.75">
      <c r="A368" s="85"/>
      <c r="B368" s="120">
        <f t="shared" si="49"/>
        <v>359</v>
      </c>
      <c r="C368" s="131">
        <f t="shared" si="50"/>
        <v>0</v>
      </c>
      <c r="D368" s="131">
        <f t="shared" si="47"/>
        <v>0</v>
      </c>
      <c r="E368" s="132">
        <f t="shared" si="51"/>
        <v>0</v>
      </c>
      <c r="F368" s="133">
        <f t="shared" si="48"/>
        <v>0</v>
      </c>
      <c r="G368" s="133">
        <f t="shared" si="52"/>
        <v>0</v>
      </c>
      <c r="H368" s="124"/>
      <c r="I368" s="84"/>
      <c r="J368" s="86"/>
      <c r="K368" s="85"/>
      <c r="L368" s="85"/>
      <c r="M368" s="85"/>
      <c r="N368" s="85"/>
      <c r="O368" s="85"/>
      <c r="P368" s="85"/>
    </row>
    <row r="369" spans="1:16" ht="12.75">
      <c r="A369" s="85"/>
      <c r="B369" s="120">
        <f t="shared" si="49"/>
        <v>360</v>
      </c>
      <c r="C369" s="131">
        <f t="shared" si="50"/>
        <v>0</v>
      </c>
      <c r="D369" s="131">
        <f t="shared" si="47"/>
        <v>0</v>
      </c>
      <c r="E369" s="132">
        <f t="shared" si="51"/>
        <v>0</v>
      </c>
      <c r="F369" s="133">
        <f t="shared" si="48"/>
        <v>0</v>
      </c>
      <c r="G369" s="133">
        <f t="shared" si="52"/>
        <v>0</v>
      </c>
      <c r="H369" s="124"/>
      <c r="I369" s="84"/>
      <c r="J369" s="86"/>
      <c r="K369" s="85"/>
      <c r="L369" s="85"/>
      <c r="M369" s="85"/>
      <c r="N369" s="85"/>
      <c r="O369" s="85"/>
      <c r="P369" s="85"/>
    </row>
    <row r="370" spans="1:16" ht="12.75">
      <c r="A370" s="85"/>
      <c r="B370" s="120">
        <f t="shared" si="49"/>
        <v>361</v>
      </c>
      <c r="C370" s="131">
        <f t="shared" si="50"/>
        <v>0</v>
      </c>
      <c r="D370" s="131">
        <f t="shared" si="47"/>
        <v>0</v>
      </c>
      <c r="E370" s="132">
        <f t="shared" si="51"/>
        <v>0</v>
      </c>
      <c r="F370" s="133">
        <f t="shared" si="48"/>
        <v>0</v>
      </c>
      <c r="G370" s="133">
        <f t="shared" si="52"/>
        <v>0</v>
      </c>
      <c r="H370" s="124"/>
      <c r="I370" s="84"/>
      <c r="J370" s="86"/>
      <c r="K370" s="85"/>
      <c r="L370" s="85"/>
      <c r="M370" s="85"/>
      <c r="N370" s="85"/>
      <c r="O370" s="85"/>
      <c r="P370" s="85"/>
    </row>
    <row r="371" spans="1:16" ht="12.75">
      <c r="A371" s="85"/>
      <c r="B371" s="120">
        <f t="shared" si="49"/>
        <v>362</v>
      </c>
      <c r="C371" s="131">
        <f t="shared" si="50"/>
        <v>0</v>
      </c>
      <c r="D371" s="131">
        <f t="shared" si="47"/>
        <v>0</v>
      </c>
      <c r="E371" s="132">
        <f t="shared" si="51"/>
        <v>0</v>
      </c>
      <c r="F371" s="133">
        <f t="shared" si="48"/>
        <v>0</v>
      </c>
      <c r="G371" s="133">
        <f t="shared" si="52"/>
        <v>0</v>
      </c>
      <c r="H371" s="124"/>
      <c r="I371" s="84"/>
      <c r="J371" s="86"/>
      <c r="K371" s="85"/>
      <c r="L371" s="85"/>
      <c r="M371" s="85"/>
      <c r="N371" s="85"/>
      <c r="O371" s="85"/>
      <c r="P371" s="85"/>
    </row>
    <row r="372" spans="1:16" ht="12.75">
      <c r="A372" s="85"/>
      <c r="B372" s="142">
        <f t="shared" si="49"/>
        <v>363</v>
      </c>
      <c r="C372" s="143">
        <f t="shared" si="50"/>
        <v>0</v>
      </c>
      <c r="D372" s="143">
        <f t="shared" si="47"/>
        <v>0</v>
      </c>
      <c r="E372" s="144">
        <f t="shared" si="51"/>
        <v>0</v>
      </c>
      <c r="F372" s="145">
        <f t="shared" si="48"/>
        <v>0</v>
      </c>
      <c r="G372" s="145">
        <f t="shared" si="52"/>
        <v>0</v>
      </c>
      <c r="H372" s="124"/>
      <c r="I372" s="84"/>
      <c r="J372" s="86"/>
      <c r="K372" s="85"/>
      <c r="L372" s="85"/>
      <c r="M372" s="85"/>
      <c r="N372" s="85"/>
      <c r="O372" s="85"/>
      <c r="P372" s="85"/>
    </row>
    <row r="373" spans="1:16" ht="12.75">
      <c r="A373" s="85"/>
      <c r="B373" s="85"/>
      <c r="C373" s="85"/>
      <c r="D373" s="85"/>
      <c r="E373" s="85"/>
      <c r="F373" s="85"/>
      <c r="G373" s="85"/>
      <c r="H373" s="85"/>
      <c r="I373" s="84"/>
      <c r="J373" s="86"/>
      <c r="K373" s="85"/>
      <c r="L373" s="85"/>
      <c r="M373" s="85"/>
      <c r="N373" s="85"/>
      <c r="O373" s="85"/>
      <c r="P373" s="85"/>
    </row>
    <row r="374" spans="1:16" ht="12.75">
      <c r="A374" s="85"/>
      <c r="B374" s="85"/>
      <c r="C374" s="85"/>
      <c r="D374" s="85"/>
      <c r="E374" s="85"/>
      <c r="F374" s="85"/>
      <c r="G374" s="85"/>
      <c r="H374" s="85"/>
      <c r="I374" s="84"/>
      <c r="J374" s="86"/>
      <c r="K374" s="85"/>
      <c r="L374" s="85"/>
      <c r="M374" s="85"/>
      <c r="N374" s="85"/>
      <c r="O374" s="85"/>
      <c r="P374" s="85"/>
    </row>
    <row r="375" spans="1:16" ht="12.75">
      <c r="A375" s="85"/>
      <c r="B375" s="85"/>
      <c r="C375" s="85"/>
      <c r="D375" s="85"/>
      <c r="E375" s="85"/>
      <c r="F375" s="85"/>
      <c r="G375" s="85"/>
      <c r="H375" s="85"/>
      <c r="I375" s="84"/>
      <c r="J375" s="86"/>
      <c r="K375" s="85"/>
      <c r="L375" s="85"/>
      <c r="M375" s="85"/>
      <c r="N375" s="85"/>
      <c r="O375" s="85"/>
      <c r="P375" s="85"/>
    </row>
    <row r="376" spans="1:16" ht="12.75">
      <c r="A376" s="85"/>
      <c r="B376" s="85"/>
      <c r="C376" s="85"/>
      <c r="D376" s="85"/>
      <c r="E376" s="85"/>
      <c r="F376" s="85"/>
      <c r="G376" s="85"/>
      <c r="H376" s="85"/>
      <c r="I376" s="84"/>
      <c r="J376" s="86"/>
      <c r="K376" s="85"/>
      <c r="L376" s="85"/>
      <c r="M376" s="85"/>
      <c r="N376" s="85"/>
      <c r="O376" s="85"/>
      <c r="P376" s="85"/>
    </row>
    <row r="377" spans="1:16" ht="12.75">
      <c r="A377" s="85"/>
      <c r="B377" s="85"/>
      <c r="C377" s="85"/>
      <c r="D377" s="85"/>
      <c r="E377" s="85"/>
      <c r="F377" s="85"/>
      <c r="G377" s="85"/>
      <c r="H377" s="85"/>
      <c r="I377" s="84"/>
      <c r="J377" s="86"/>
      <c r="K377" s="85"/>
      <c r="L377" s="85"/>
      <c r="M377" s="85"/>
      <c r="N377" s="85"/>
      <c r="O377" s="85"/>
      <c r="P377" s="85"/>
    </row>
    <row r="378" spans="1:16" ht="12.75">
      <c r="A378" s="85"/>
      <c r="B378" s="85"/>
      <c r="C378" s="85"/>
      <c r="D378" s="85"/>
      <c r="E378" s="85"/>
      <c r="F378" s="85"/>
      <c r="G378" s="85"/>
      <c r="H378" s="85"/>
      <c r="I378" s="84"/>
      <c r="J378" s="86"/>
      <c r="K378" s="85"/>
      <c r="L378" s="85"/>
      <c r="M378" s="85"/>
      <c r="N378" s="85"/>
      <c r="O378" s="85"/>
      <c r="P378" s="85"/>
    </row>
    <row r="379" spans="1:16" ht="12.75">
      <c r="A379" s="85"/>
      <c r="B379" s="85"/>
      <c r="C379" s="85"/>
      <c r="D379" s="85"/>
      <c r="E379" s="85"/>
      <c r="F379" s="85"/>
      <c r="G379" s="85"/>
      <c r="H379" s="85"/>
      <c r="I379" s="84"/>
      <c r="J379" s="86"/>
      <c r="K379" s="85"/>
      <c r="L379" s="85"/>
      <c r="M379" s="85"/>
      <c r="N379" s="85"/>
      <c r="O379" s="85"/>
      <c r="P379" s="85"/>
    </row>
    <row r="380" spans="1:16" ht="12.75">
      <c r="A380" s="85"/>
      <c r="B380" s="85"/>
      <c r="C380" s="85"/>
      <c r="D380" s="85"/>
      <c r="E380" s="85"/>
      <c r="F380" s="85"/>
      <c r="G380" s="85"/>
      <c r="H380" s="85"/>
      <c r="I380" s="84"/>
      <c r="J380" s="86"/>
      <c r="K380" s="85"/>
      <c r="L380" s="85"/>
      <c r="M380" s="85"/>
      <c r="N380" s="85"/>
      <c r="O380" s="85"/>
      <c r="P380" s="85"/>
    </row>
    <row r="381" spans="1:16" ht="12.75">
      <c r="A381" s="85"/>
      <c r="B381" s="85"/>
      <c r="C381" s="85"/>
      <c r="D381" s="85"/>
      <c r="E381" s="85"/>
      <c r="F381" s="85"/>
      <c r="G381" s="85"/>
      <c r="H381" s="85"/>
      <c r="I381" s="84"/>
      <c r="J381" s="86"/>
      <c r="K381" s="85"/>
      <c r="L381" s="85"/>
      <c r="M381" s="85"/>
      <c r="N381" s="85"/>
      <c r="O381" s="85"/>
      <c r="P381" s="85"/>
    </row>
    <row r="382" spans="1:16" ht="12.75">
      <c r="A382" s="85"/>
      <c r="B382" s="85"/>
      <c r="C382" s="85"/>
      <c r="D382" s="85"/>
      <c r="E382" s="85"/>
      <c r="F382" s="85"/>
      <c r="G382" s="85"/>
      <c r="H382" s="85"/>
      <c r="I382" s="84"/>
      <c r="J382" s="86"/>
      <c r="K382" s="85"/>
      <c r="L382" s="85"/>
      <c r="M382" s="85"/>
      <c r="N382" s="85"/>
      <c r="O382" s="85"/>
      <c r="P382" s="85"/>
    </row>
    <row r="383" spans="1:16" ht="12.75">
      <c r="A383" s="85"/>
      <c r="B383" s="85"/>
      <c r="C383" s="85"/>
      <c r="D383" s="85"/>
      <c r="E383" s="85"/>
      <c r="F383" s="85"/>
      <c r="G383" s="85"/>
      <c r="H383" s="85"/>
      <c r="I383" s="84"/>
      <c r="J383" s="86"/>
      <c r="K383" s="85"/>
      <c r="L383" s="85"/>
      <c r="M383" s="85"/>
      <c r="N383" s="85"/>
      <c r="O383" s="85"/>
      <c r="P383" s="85"/>
    </row>
    <row r="384" spans="1:16" ht="12.75">
      <c r="A384" s="85"/>
      <c r="B384" s="85"/>
      <c r="C384" s="85"/>
      <c r="D384" s="85"/>
      <c r="E384" s="85"/>
      <c r="F384" s="85"/>
      <c r="G384" s="85"/>
      <c r="H384" s="85"/>
      <c r="I384" s="84"/>
      <c r="J384" s="86"/>
      <c r="K384" s="85"/>
      <c r="L384" s="85"/>
      <c r="M384" s="85"/>
      <c r="N384" s="85"/>
      <c r="O384" s="85"/>
      <c r="P384" s="85"/>
    </row>
    <row r="385" spans="1:16" ht="12.75">
      <c r="A385" s="85"/>
      <c r="B385" s="85"/>
      <c r="C385" s="85"/>
      <c r="D385" s="85"/>
      <c r="E385" s="85"/>
      <c r="F385" s="85"/>
      <c r="G385" s="85"/>
      <c r="H385" s="85"/>
      <c r="I385" s="84"/>
      <c r="J385" s="86"/>
      <c r="K385" s="85"/>
      <c r="L385" s="85"/>
      <c r="M385" s="85"/>
      <c r="N385" s="85"/>
      <c r="O385" s="85"/>
      <c r="P385" s="85"/>
    </row>
    <row r="386" spans="1:16" ht="12.75">
      <c r="A386" s="85"/>
      <c r="B386" s="85"/>
      <c r="C386" s="85"/>
      <c r="D386" s="85"/>
      <c r="E386" s="85"/>
      <c r="F386" s="85"/>
      <c r="G386" s="85"/>
      <c r="H386" s="85"/>
      <c r="I386" s="84"/>
      <c r="J386" s="86"/>
      <c r="K386" s="85"/>
      <c r="L386" s="85"/>
      <c r="M386" s="85"/>
      <c r="N386" s="85"/>
      <c r="O386" s="85"/>
      <c r="P386" s="85"/>
    </row>
    <row r="387" spans="1:16" ht="12.75">
      <c r="A387" s="85"/>
      <c r="B387" s="85"/>
      <c r="C387" s="85"/>
      <c r="D387" s="85"/>
      <c r="E387" s="85"/>
      <c r="F387" s="85"/>
      <c r="G387" s="85"/>
      <c r="H387" s="85"/>
      <c r="I387" s="84"/>
      <c r="J387" s="86"/>
      <c r="K387" s="85"/>
      <c r="L387" s="85"/>
      <c r="M387" s="85"/>
      <c r="N387" s="85"/>
      <c r="O387" s="85"/>
      <c r="P387" s="85"/>
    </row>
    <row r="388" spans="1:16" ht="12.75">
      <c r="A388" s="85"/>
      <c r="B388" s="85"/>
      <c r="C388" s="85"/>
      <c r="D388" s="85"/>
      <c r="E388" s="85"/>
      <c r="F388" s="85"/>
      <c r="G388" s="85"/>
      <c r="H388" s="85"/>
      <c r="I388" s="84"/>
      <c r="J388" s="86"/>
      <c r="K388" s="85"/>
      <c r="L388" s="85"/>
      <c r="M388" s="85"/>
      <c r="N388" s="85"/>
      <c r="O388" s="85"/>
      <c r="P388" s="85"/>
    </row>
    <row r="389" spans="1:16" ht="12.75">
      <c r="A389" s="85"/>
      <c r="B389" s="85"/>
      <c r="C389" s="85"/>
      <c r="D389" s="85"/>
      <c r="E389" s="85"/>
      <c r="F389" s="85"/>
      <c r="G389" s="85"/>
      <c r="H389" s="85"/>
      <c r="I389" s="84"/>
      <c r="J389" s="86"/>
      <c r="K389" s="85"/>
      <c r="L389" s="85"/>
      <c r="M389" s="85"/>
      <c r="N389" s="85"/>
      <c r="O389" s="85"/>
      <c r="P389" s="85"/>
    </row>
    <row r="390" spans="1:16" ht="12.75">
      <c r="A390" s="85"/>
      <c r="B390" s="85"/>
      <c r="C390" s="85"/>
      <c r="D390" s="85"/>
      <c r="E390" s="85"/>
      <c r="F390" s="85"/>
      <c r="G390" s="85"/>
      <c r="H390" s="85"/>
      <c r="I390" s="84"/>
      <c r="J390" s="86"/>
      <c r="K390" s="85"/>
      <c r="L390" s="85"/>
      <c r="M390" s="85"/>
      <c r="N390" s="85"/>
      <c r="O390" s="85"/>
      <c r="P390" s="85"/>
    </row>
    <row r="391" spans="1:16" ht="12.75">
      <c r="A391" s="85"/>
      <c r="B391" s="85"/>
      <c r="C391" s="85"/>
      <c r="D391" s="85"/>
      <c r="E391" s="85"/>
      <c r="F391" s="85"/>
      <c r="G391" s="85"/>
      <c r="H391" s="85"/>
      <c r="I391" s="84"/>
      <c r="J391" s="86"/>
      <c r="K391" s="85"/>
      <c r="L391" s="85"/>
      <c r="M391" s="85"/>
      <c r="N391" s="85"/>
      <c r="O391" s="85"/>
      <c r="P391" s="85"/>
    </row>
    <row r="392" spans="1:16" ht="12.75">
      <c r="A392" s="85"/>
      <c r="B392" s="85"/>
      <c r="C392" s="85"/>
      <c r="D392" s="85"/>
      <c r="E392" s="85"/>
      <c r="F392" s="85"/>
      <c r="G392" s="85"/>
      <c r="H392" s="85"/>
      <c r="I392" s="84"/>
      <c r="J392" s="86"/>
      <c r="K392" s="85"/>
      <c r="L392" s="85"/>
      <c r="M392" s="85"/>
      <c r="N392" s="85"/>
      <c r="O392" s="85"/>
      <c r="P392" s="85"/>
    </row>
    <row r="393" spans="1:16" ht="12.75">
      <c r="A393" s="85"/>
      <c r="B393" s="85"/>
      <c r="C393" s="85"/>
      <c r="D393" s="85"/>
      <c r="E393" s="85"/>
      <c r="F393" s="85"/>
      <c r="G393" s="85"/>
      <c r="H393" s="85"/>
      <c r="I393" s="84"/>
      <c r="J393" s="86"/>
      <c r="K393" s="85"/>
      <c r="L393" s="85"/>
      <c r="M393" s="85"/>
      <c r="N393" s="85"/>
      <c r="O393" s="85"/>
      <c r="P393" s="85"/>
    </row>
    <row r="394" spans="1:16" ht="12.75">
      <c r="A394" s="85"/>
      <c r="B394" s="85"/>
      <c r="C394" s="85"/>
      <c r="D394" s="85"/>
      <c r="E394" s="85"/>
      <c r="F394" s="85"/>
      <c r="G394" s="85"/>
      <c r="H394" s="85"/>
      <c r="I394" s="84"/>
      <c r="J394" s="86"/>
      <c r="K394" s="85"/>
      <c r="L394" s="85"/>
      <c r="M394" s="85"/>
      <c r="N394" s="85"/>
      <c r="O394" s="85"/>
      <c r="P394" s="85"/>
    </row>
    <row r="395" spans="1:16" ht="12.75">
      <c r="A395" s="85"/>
      <c r="B395" s="85"/>
      <c r="C395" s="85"/>
      <c r="D395" s="85"/>
      <c r="E395" s="85"/>
      <c r="F395" s="85"/>
      <c r="G395" s="85"/>
      <c r="H395" s="85"/>
      <c r="I395" s="84"/>
      <c r="J395" s="86"/>
      <c r="K395" s="85"/>
      <c r="L395" s="85"/>
      <c r="M395" s="85"/>
      <c r="N395" s="85"/>
      <c r="O395" s="85"/>
      <c r="P395" s="85"/>
    </row>
    <row r="396" spans="1:16" ht="12.75">
      <c r="A396" s="85"/>
      <c r="B396" s="85"/>
      <c r="C396" s="85"/>
      <c r="D396" s="85"/>
      <c r="E396" s="85"/>
      <c r="F396" s="85"/>
      <c r="G396" s="85"/>
      <c r="H396" s="85"/>
      <c r="I396" s="84"/>
      <c r="J396" s="86"/>
      <c r="K396" s="85"/>
      <c r="L396" s="85"/>
      <c r="M396" s="85"/>
      <c r="N396" s="85"/>
      <c r="O396" s="85"/>
      <c r="P396" s="85"/>
    </row>
    <row r="397" spans="1:16" ht="12.75">
      <c r="A397" s="85"/>
      <c r="B397" s="85"/>
      <c r="C397" s="85"/>
      <c r="D397" s="85"/>
      <c r="E397" s="85"/>
      <c r="F397" s="85"/>
      <c r="G397" s="85"/>
      <c r="H397" s="85"/>
      <c r="I397" s="84"/>
      <c r="J397" s="86"/>
      <c r="K397" s="85"/>
      <c r="L397" s="85"/>
      <c r="M397" s="85"/>
      <c r="N397" s="85"/>
      <c r="O397" s="85"/>
      <c r="P397" s="85"/>
    </row>
  </sheetData>
  <sheetProtection password="DB75" sheet="1" objects="1" scenarios="1"/>
  <mergeCells count="6">
    <mergeCell ref="I2:M2"/>
    <mergeCell ref="O2:P2"/>
    <mergeCell ref="O4:P4"/>
    <mergeCell ref="O5:P5"/>
    <mergeCell ref="I4:M4"/>
    <mergeCell ref="I5:M5"/>
  </mergeCells>
  <printOptions horizontalCentered="1" verticalCentered="1"/>
  <pageMargins left="0.75" right="0.75" top="1" bottom="1" header="0.5" footer="0.5"/>
  <pageSetup fitToHeight="0" fitToWidth="1" orientation="landscape" scale="62" r:id="rId1"/>
  <headerFooter alignWithMargins="0">
    <oddHeader>&amp;L&amp;10&amp;F&amp;C&amp;10DVC Analysis&amp;R&amp;10&amp;D,   &amp;T</oddHeader>
    <oddFooter>&amp;C&amp;P 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98"/>
  <sheetViews>
    <sheetView showGridLines="0" showZeros="0" zoomScale="68" zoomScaleNormal="68" workbookViewId="0" topLeftCell="A7">
      <selection activeCell="G26" sqref="G26"/>
    </sheetView>
  </sheetViews>
  <sheetFormatPr defaultColWidth="9.00390625" defaultRowHeight="14.25"/>
  <cols>
    <col min="1" max="1" width="3.375" style="37" customWidth="1"/>
    <col min="2" max="2" width="20.25390625" style="37" bestFit="1" customWidth="1"/>
    <col min="3" max="9" width="19.25390625" style="37" bestFit="1" customWidth="1"/>
    <col min="10" max="10" width="19.375" style="37" bestFit="1" customWidth="1"/>
    <col min="11" max="11" width="2.375" style="37" customWidth="1"/>
    <col min="12" max="12" width="20.875" style="36" bestFit="1" customWidth="1"/>
    <col min="13" max="16384" width="9.125" style="37" customWidth="1"/>
  </cols>
  <sheetData>
    <row r="1" spans="1:13" ht="26.25">
      <c r="A1" s="146"/>
      <c r="B1" s="258" t="s">
        <v>36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146"/>
    </row>
    <row r="2" spans="1:13" ht="15.75">
      <c r="A2" s="146"/>
      <c r="B2" s="260" t="s">
        <v>129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46"/>
    </row>
    <row r="3" spans="1:13" ht="15.75">
      <c r="A3" s="146"/>
      <c r="B3" s="261" t="s">
        <v>94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146"/>
    </row>
    <row r="4" spans="1:13" ht="16.5" thickBot="1">
      <c r="A4" s="146"/>
      <c r="B4" s="260" t="s">
        <v>79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146"/>
    </row>
    <row r="5" spans="1:13" ht="18">
      <c r="A5" s="146"/>
      <c r="B5" s="148" t="s">
        <v>37</v>
      </c>
      <c r="C5" s="148" t="s">
        <v>38</v>
      </c>
      <c r="D5" s="148" t="s">
        <v>39</v>
      </c>
      <c r="E5" s="148" t="s">
        <v>39</v>
      </c>
      <c r="F5" s="148" t="s">
        <v>40</v>
      </c>
      <c r="G5" s="148" t="s">
        <v>41</v>
      </c>
      <c r="H5" s="148" t="s">
        <v>42</v>
      </c>
      <c r="I5" s="148" t="s">
        <v>43</v>
      </c>
      <c r="J5" s="148" t="s">
        <v>44</v>
      </c>
      <c r="K5" s="149"/>
      <c r="L5" s="150" t="s">
        <v>126</v>
      </c>
      <c r="M5" s="146"/>
    </row>
    <row r="6" spans="1:13" ht="18">
      <c r="A6" s="146"/>
      <c r="B6" s="151" t="s">
        <v>45</v>
      </c>
      <c r="C6" s="151"/>
      <c r="D6" s="151" t="s">
        <v>46</v>
      </c>
      <c r="E6" s="151" t="s">
        <v>47</v>
      </c>
      <c r="F6" s="151" t="s">
        <v>47</v>
      </c>
      <c r="G6" s="151"/>
      <c r="H6" s="151"/>
      <c r="I6" s="151" t="s">
        <v>48</v>
      </c>
      <c r="J6" s="151" t="s">
        <v>123</v>
      </c>
      <c r="K6" s="149"/>
      <c r="L6" s="152" t="s">
        <v>49</v>
      </c>
      <c r="M6" s="146"/>
    </row>
    <row r="7" spans="1:13" ht="18.75" thickBot="1">
      <c r="A7" s="146"/>
      <c r="B7" s="153" t="s">
        <v>50</v>
      </c>
      <c r="C7" s="153" t="s">
        <v>51</v>
      </c>
      <c r="D7" s="153" t="s">
        <v>52</v>
      </c>
      <c r="E7" s="153" t="s">
        <v>52</v>
      </c>
      <c r="F7" s="153" t="s">
        <v>52</v>
      </c>
      <c r="G7" s="153" t="s">
        <v>53</v>
      </c>
      <c r="H7" s="153" t="s">
        <v>54</v>
      </c>
      <c r="I7" s="153" t="s">
        <v>54</v>
      </c>
      <c r="J7" s="153" t="s">
        <v>124</v>
      </c>
      <c r="K7" s="149"/>
      <c r="L7" s="154" t="s">
        <v>55</v>
      </c>
      <c r="M7" s="146"/>
    </row>
    <row r="8" spans="1:21" ht="18">
      <c r="A8" s="146"/>
      <c r="B8" s="148" t="s">
        <v>68</v>
      </c>
      <c r="C8" s="155">
        <v>20</v>
      </c>
      <c r="D8" s="155">
        <v>27</v>
      </c>
      <c r="E8" s="155">
        <v>44</v>
      </c>
      <c r="F8" s="155">
        <v>45</v>
      </c>
      <c r="G8" s="155"/>
      <c r="H8" s="155"/>
      <c r="I8" s="155">
        <f>SUM(C8:H8)</f>
        <v>136</v>
      </c>
      <c r="J8" s="155">
        <f>+(I8+F8)*0.96</f>
        <v>173.76</v>
      </c>
      <c r="K8" s="149"/>
      <c r="L8" s="156"/>
      <c r="M8" s="146"/>
      <c r="T8" s="244" t="s">
        <v>128</v>
      </c>
      <c r="U8" s="245">
        <f>+L24</f>
        <v>4.62</v>
      </c>
    </row>
    <row r="9" spans="1:21" ht="18.75" customHeight="1">
      <c r="A9" s="146"/>
      <c r="B9" s="151" t="s">
        <v>103</v>
      </c>
      <c r="C9" s="157">
        <v>6102</v>
      </c>
      <c r="D9" s="157">
        <v>12810</v>
      </c>
      <c r="E9" s="157">
        <v>16665</v>
      </c>
      <c r="F9" s="157">
        <f>+D9+C9</f>
        <v>18912</v>
      </c>
      <c r="G9" s="157"/>
      <c r="H9" s="157"/>
      <c r="I9" s="157"/>
      <c r="J9" s="158"/>
      <c r="K9" s="149"/>
      <c r="L9" s="159">
        <f>+G55</f>
        <v>4.73</v>
      </c>
      <c r="M9" s="146"/>
      <c r="T9" s="244" t="s">
        <v>59</v>
      </c>
      <c r="U9" s="245">
        <f>+L18</f>
        <v>4.63</v>
      </c>
    </row>
    <row r="10" spans="1:21" ht="18.75" customHeight="1" thickBot="1">
      <c r="A10" s="146"/>
      <c r="B10" s="153" t="s">
        <v>127</v>
      </c>
      <c r="C10" s="160">
        <f>+C8*C9</f>
        <v>122040</v>
      </c>
      <c r="D10" s="160">
        <f>+D8*D9</f>
        <v>345870</v>
      </c>
      <c r="E10" s="160">
        <f>+E8*E9</f>
        <v>733260</v>
      </c>
      <c r="F10" s="160">
        <f>+F8*F9</f>
        <v>851040</v>
      </c>
      <c r="G10" s="160"/>
      <c r="H10" s="160"/>
      <c r="I10" s="160"/>
      <c r="J10" s="160">
        <f>+SUM(C10:I10)*0.97</f>
        <v>1990643.7</v>
      </c>
      <c r="K10" s="149"/>
      <c r="L10" s="161"/>
      <c r="M10" s="146"/>
      <c r="T10" s="244" t="s">
        <v>57</v>
      </c>
      <c r="U10" s="245">
        <f>+L12</f>
        <v>4.85</v>
      </c>
    </row>
    <row r="11" spans="1:21" ht="18">
      <c r="A11" s="146"/>
      <c r="B11" s="148" t="s">
        <v>57</v>
      </c>
      <c r="C11" s="155">
        <v>97</v>
      </c>
      <c r="D11" s="155">
        <v>130</v>
      </c>
      <c r="E11" s="155"/>
      <c r="F11" s="155">
        <v>149</v>
      </c>
      <c r="G11" s="155">
        <v>7</v>
      </c>
      <c r="H11" s="155"/>
      <c r="I11" s="155">
        <f>SUM(C11:H11)</f>
        <v>383</v>
      </c>
      <c r="J11" s="155">
        <f>+(I11+F11)*0.96</f>
        <v>510.71999999999997</v>
      </c>
      <c r="K11" s="149"/>
      <c r="L11" s="156"/>
      <c r="M11" s="146"/>
      <c r="T11" s="244" t="s">
        <v>60</v>
      </c>
      <c r="U11" s="245">
        <f>+L21</f>
        <v>4.98</v>
      </c>
    </row>
    <row r="12" spans="1:21" ht="18">
      <c r="A12" s="146"/>
      <c r="B12" s="151" t="s">
        <v>103</v>
      </c>
      <c r="C12" s="157">
        <v>5358</v>
      </c>
      <c r="D12" s="157">
        <v>10585</v>
      </c>
      <c r="E12" s="157"/>
      <c r="F12" s="157">
        <f>+D12+C12</f>
        <v>15943</v>
      </c>
      <c r="G12" s="157">
        <v>36204</v>
      </c>
      <c r="H12" s="157"/>
      <c r="I12" s="157"/>
      <c r="J12" s="158"/>
      <c r="K12" s="149"/>
      <c r="L12" s="159">
        <v>4.85</v>
      </c>
      <c r="M12" s="146"/>
      <c r="T12" s="244" t="s">
        <v>58</v>
      </c>
      <c r="U12" s="245">
        <f>+L15</f>
        <v>4.4</v>
      </c>
    </row>
    <row r="13" spans="1:21" ht="18.75" thickBot="1">
      <c r="A13" s="146"/>
      <c r="B13" s="153" t="s">
        <v>127</v>
      </c>
      <c r="C13" s="160">
        <f>+C11*C12</f>
        <v>519726</v>
      </c>
      <c r="D13" s="160">
        <f>+D11*D12</f>
        <v>1376050</v>
      </c>
      <c r="E13" s="160"/>
      <c r="F13" s="160">
        <f>+F11*F12</f>
        <v>2375507</v>
      </c>
      <c r="G13" s="160">
        <f>+G11*G12</f>
        <v>253428</v>
      </c>
      <c r="H13" s="160"/>
      <c r="I13" s="160"/>
      <c r="J13" s="160">
        <f>+SUM(C13:I13)*0.97</f>
        <v>4388969.67</v>
      </c>
      <c r="K13" s="149"/>
      <c r="L13" s="161"/>
      <c r="M13" s="146"/>
      <c r="T13" s="244" t="s">
        <v>61</v>
      </c>
      <c r="U13" s="245">
        <f>+L27</f>
        <v>4.12</v>
      </c>
    </row>
    <row r="14" spans="1:21" ht="18">
      <c r="A14" s="146"/>
      <c r="B14" s="148" t="s">
        <v>58</v>
      </c>
      <c r="C14" s="155"/>
      <c r="D14" s="155"/>
      <c r="E14" s="155">
        <v>274</v>
      </c>
      <c r="F14" s="155">
        <v>230</v>
      </c>
      <c r="G14" s="155">
        <v>27</v>
      </c>
      <c r="H14" s="155"/>
      <c r="I14" s="155">
        <f>SUM(C14:H14)</f>
        <v>531</v>
      </c>
      <c r="J14" s="155">
        <f>+(I14+F14)*0.96</f>
        <v>730.56</v>
      </c>
      <c r="K14" s="149"/>
      <c r="L14" s="156"/>
      <c r="M14" s="146"/>
      <c r="T14" s="244" t="s">
        <v>62</v>
      </c>
      <c r="U14" s="245">
        <f>+L30</f>
        <v>5.63</v>
      </c>
    </row>
    <row r="15" spans="1:21" ht="18">
      <c r="A15" s="146"/>
      <c r="B15" s="151" t="s">
        <v>103</v>
      </c>
      <c r="C15" s="162">
        <v>5099</v>
      </c>
      <c r="D15" s="162">
        <v>10281</v>
      </c>
      <c r="E15" s="157">
        <v>13929</v>
      </c>
      <c r="F15" s="157">
        <f>+D15+C15</f>
        <v>15380</v>
      </c>
      <c r="G15" s="157">
        <v>23082</v>
      </c>
      <c r="H15" s="157"/>
      <c r="I15" s="157"/>
      <c r="J15" s="158"/>
      <c r="K15" s="149"/>
      <c r="L15" s="159">
        <f>+C55</f>
        <v>4.4</v>
      </c>
      <c r="M15" s="146"/>
      <c r="T15" s="244" t="s">
        <v>56</v>
      </c>
      <c r="U15" s="245">
        <f>+L9</f>
        <v>4.73</v>
      </c>
    </row>
    <row r="16" spans="1:13" ht="18.75" thickBot="1">
      <c r="A16" s="146"/>
      <c r="B16" s="153" t="s">
        <v>127</v>
      </c>
      <c r="C16" s="160"/>
      <c r="D16" s="160"/>
      <c r="E16" s="160">
        <f>+E14*E15</f>
        <v>3816546</v>
      </c>
      <c r="F16" s="160">
        <f>+F14*F15</f>
        <v>3537400</v>
      </c>
      <c r="G16" s="160">
        <f>+G14*G15</f>
        <v>623214</v>
      </c>
      <c r="H16" s="160"/>
      <c r="I16" s="160"/>
      <c r="J16" s="160">
        <f>+SUM(C16:I16)*0.97</f>
        <v>7737845.2</v>
      </c>
      <c r="K16" s="149"/>
      <c r="L16" s="161"/>
      <c r="M16" s="146"/>
    </row>
    <row r="17" spans="1:13" ht="18">
      <c r="A17" s="146"/>
      <c r="B17" s="148" t="s">
        <v>59</v>
      </c>
      <c r="C17" s="155">
        <v>36</v>
      </c>
      <c r="D17" s="155">
        <v>20</v>
      </c>
      <c r="E17" s="155">
        <v>78</v>
      </c>
      <c r="F17" s="155">
        <v>74</v>
      </c>
      <c r="G17" s="155"/>
      <c r="H17" s="155"/>
      <c r="I17" s="155">
        <f>SUM(C17:H17)</f>
        <v>208</v>
      </c>
      <c r="J17" s="155">
        <f>+(I17+F17)*0.96</f>
        <v>270.71999999999997</v>
      </c>
      <c r="K17" s="149"/>
      <c r="L17" s="156"/>
      <c r="M17" s="146"/>
    </row>
    <row r="18" spans="1:13" ht="18">
      <c r="A18" s="146"/>
      <c r="B18" s="151" t="s">
        <v>103</v>
      </c>
      <c r="C18" s="157">
        <v>6408</v>
      </c>
      <c r="D18" s="157">
        <v>12810</v>
      </c>
      <c r="E18" s="157">
        <v>16665</v>
      </c>
      <c r="F18" s="157">
        <f>+D18+C18</f>
        <v>19218</v>
      </c>
      <c r="G18" s="157"/>
      <c r="H18" s="157"/>
      <c r="I18" s="157"/>
      <c r="J18" s="158"/>
      <c r="K18" s="149"/>
      <c r="L18" s="159">
        <f>+H55</f>
        <v>4.63</v>
      </c>
      <c r="M18" s="146"/>
    </row>
    <row r="19" spans="1:13" ht="18.75" thickBot="1">
      <c r="A19" s="146"/>
      <c r="B19" s="151" t="s">
        <v>127</v>
      </c>
      <c r="C19" s="160">
        <f>+C17*C18</f>
        <v>230688</v>
      </c>
      <c r="D19" s="160">
        <f>+D17*D18</f>
        <v>256200</v>
      </c>
      <c r="E19" s="160">
        <f>+E17*E18</f>
        <v>1299870</v>
      </c>
      <c r="F19" s="160">
        <f>+F17*F18</f>
        <v>1422132</v>
      </c>
      <c r="G19" s="160"/>
      <c r="H19" s="160"/>
      <c r="I19" s="160"/>
      <c r="J19" s="160">
        <f>+SUM(C19:I19)*0.97</f>
        <v>3112623.3</v>
      </c>
      <c r="K19" s="149"/>
      <c r="L19" s="161"/>
      <c r="M19" s="146"/>
    </row>
    <row r="20" spans="1:13" ht="18">
      <c r="A20" s="146"/>
      <c r="B20" s="235" t="s">
        <v>60</v>
      </c>
      <c r="C20" s="238"/>
      <c r="D20" s="155"/>
      <c r="E20" s="155">
        <v>76</v>
      </c>
      <c r="F20" s="155">
        <v>21</v>
      </c>
      <c r="G20" s="155">
        <v>5</v>
      </c>
      <c r="H20" s="155"/>
      <c r="I20" s="155">
        <f>SUM(C20:H20)</f>
        <v>102</v>
      </c>
      <c r="J20" s="155">
        <f>+(I20+F20)*0.96</f>
        <v>118.08</v>
      </c>
      <c r="K20" s="149"/>
      <c r="L20" s="156"/>
      <c r="M20" s="146"/>
    </row>
    <row r="21" spans="1:13" ht="18">
      <c r="A21" s="146"/>
      <c r="B21" s="236" t="s">
        <v>103</v>
      </c>
      <c r="C21" s="239">
        <v>5275</v>
      </c>
      <c r="D21" s="162">
        <v>10241</v>
      </c>
      <c r="E21" s="157">
        <v>15656</v>
      </c>
      <c r="F21" s="157">
        <f>+D21+C21</f>
        <v>15516</v>
      </c>
      <c r="G21" s="157">
        <v>28061</v>
      </c>
      <c r="H21" s="157"/>
      <c r="I21" s="157"/>
      <c r="J21" s="158"/>
      <c r="K21" s="149"/>
      <c r="L21" s="159">
        <v>4.98</v>
      </c>
      <c r="M21" s="146"/>
    </row>
    <row r="22" spans="1:13" ht="18.75" thickBot="1">
      <c r="A22" s="146"/>
      <c r="B22" s="237" t="s">
        <v>127</v>
      </c>
      <c r="C22" s="240"/>
      <c r="D22" s="160"/>
      <c r="E22" s="160">
        <f>+E20*E21</f>
        <v>1189856</v>
      </c>
      <c r="F22" s="160">
        <f>+F20*F21</f>
        <v>325836</v>
      </c>
      <c r="G22" s="160">
        <f>+G20*G21</f>
        <v>140305</v>
      </c>
      <c r="H22" s="160"/>
      <c r="I22" s="160"/>
      <c r="J22" s="160">
        <f>+SUM(C22:I22)*0.97</f>
        <v>1606317.0899999999</v>
      </c>
      <c r="K22" s="149"/>
      <c r="L22" s="161"/>
      <c r="M22" s="146"/>
    </row>
    <row r="23" spans="1:13" ht="18">
      <c r="A23" s="146"/>
      <c r="B23" s="151" t="s">
        <v>128</v>
      </c>
      <c r="C23" s="234">
        <v>46</v>
      </c>
      <c r="D23" s="157"/>
      <c r="E23" s="157">
        <v>140</v>
      </c>
      <c r="F23" s="157">
        <v>250</v>
      </c>
      <c r="G23" s="157">
        <v>22</v>
      </c>
      <c r="H23" s="157"/>
      <c r="I23" s="155">
        <f>SUM(C23:H23)</f>
        <v>458</v>
      </c>
      <c r="J23" s="155">
        <f>+(I23+F23)*0.96</f>
        <v>679.68</v>
      </c>
      <c r="K23" s="149"/>
      <c r="L23" s="159"/>
      <c r="M23" s="146"/>
    </row>
    <row r="24" spans="1:13" ht="18">
      <c r="A24" s="146"/>
      <c r="B24" s="151" t="s">
        <v>103</v>
      </c>
      <c r="C24" s="157">
        <v>7116</v>
      </c>
      <c r="D24" s="157"/>
      <c r="E24" s="157">
        <v>15191</v>
      </c>
      <c r="F24" s="157">
        <v>20507</v>
      </c>
      <c r="G24" s="157">
        <v>34154</v>
      </c>
      <c r="H24" s="157"/>
      <c r="I24" s="157"/>
      <c r="J24" s="158"/>
      <c r="K24" s="149"/>
      <c r="L24" s="159">
        <v>4.62</v>
      </c>
      <c r="M24" s="146"/>
    </row>
    <row r="25" spans="1:13" ht="18.75" thickBot="1">
      <c r="A25" s="146"/>
      <c r="B25" s="153" t="s">
        <v>127</v>
      </c>
      <c r="C25" s="160">
        <f>+(C23*C24)</f>
        <v>327336</v>
      </c>
      <c r="D25" s="160"/>
      <c r="E25" s="160">
        <f>+(E23*E24)</f>
        <v>2126740</v>
      </c>
      <c r="F25" s="160">
        <f>+(F23*F24)</f>
        <v>5126750</v>
      </c>
      <c r="G25" s="160">
        <f>+G23*G24</f>
        <v>751388</v>
      </c>
      <c r="H25" s="160">
        <f>+H23*H24</f>
        <v>0</v>
      </c>
      <c r="I25" s="160"/>
      <c r="J25" s="160">
        <f>+SUM(C25:I25)*0.97</f>
        <v>8082247.58</v>
      </c>
      <c r="K25" s="149"/>
      <c r="L25" s="159"/>
      <c r="M25" s="146"/>
    </row>
    <row r="26" spans="1:13" ht="18">
      <c r="A26" s="146"/>
      <c r="B26" s="151" t="s">
        <v>61</v>
      </c>
      <c r="C26" s="155"/>
      <c r="D26" s="155"/>
      <c r="E26" s="155">
        <v>360</v>
      </c>
      <c r="F26" s="155">
        <v>432</v>
      </c>
      <c r="G26" s="155">
        <f>24*1.5</f>
        <v>36</v>
      </c>
      <c r="H26" s="155"/>
      <c r="I26" s="155">
        <f>SUM(C26:H26)</f>
        <v>828</v>
      </c>
      <c r="J26" s="155">
        <f>+(I26+F26)*0.96</f>
        <v>1209.6</v>
      </c>
      <c r="K26" s="149"/>
      <c r="L26" s="156"/>
      <c r="M26" s="146"/>
    </row>
    <row r="27" spans="1:13" ht="18">
      <c r="A27" s="146"/>
      <c r="B27" s="151" t="s">
        <v>103</v>
      </c>
      <c r="C27" s="162">
        <v>6258</v>
      </c>
      <c r="D27" s="162">
        <v>11532</v>
      </c>
      <c r="E27" s="157">
        <f>15170*1.41666666666667</f>
        <v>21490.833333333336</v>
      </c>
      <c r="F27" s="157">
        <f>15170*1.41666666666667</f>
        <v>21490.833333333336</v>
      </c>
      <c r="G27" s="157">
        <f>32783*1.41666666666667</f>
        <v>46442.583333333336</v>
      </c>
      <c r="H27" s="157"/>
      <c r="I27" s="157"/>
      <c r="J27" s="158"/>
      <c r="K27" s="149"/>
      <c r="L27" s="159">
        <f>+J55</f>
        <v>4.12</v>
      </c>
      <c r="M27" s="146"/>
    </row>
    <row r="28" spans="1:13" ht="18.75" thickBot="1">
      <c r="A28" s="146"/>
      <c r="B28" s="153" t="s">
        <v>127</v>
      </c>
      <c r="C28" s="160"/>
      <c r="D28" s="160"/>
      <c r="E28" s="160">
        <f>+(E26*E27)</f>
        <v>7736700.000000001</v>
      </c>
      <c r="F28" s="160">
        <f>+F26*F27</f>
        <v>9284040.000000002</v>
      </c>
      <c r="G28" s="160">
        <f>+G26*G27</f>
        <v>1671933</v>
      </c>
      <c r="H28" s="160">
        <f>+H26*H27</f>
        <v>0</v>
      </c>
      <c r="I28" s="160"/>
      <c r="J28" s="160">
        <f>+SUM(C28:I28)*0.97</f>
        <v>18131892.810000002</v>
      </c>
      <c r="K28" s="149"/>
      <c r="L28" s="161"/>
      <c r="M28" s="146"/>
    </row>
    <row r="29" spans="1:13" ht="18">
      <c r="A29" s="146"/>
      <c r="B29" s="148" t="s">
        <v>62</v>
      </c>
      <c r="C29" s="155"/>
      <c r="D29" s="155"/>
      <c r="E29" s="155">
        <v>18</v>
      </c>
      <c r="F29" s="155">
        <v>36</v>
      </c>
      <c r="G29" s="155">
        <v>6</v>
      </c>
      <c r="H29" s="155">
        <v>112</v>
      </c>
      <c r="I29" s="155">
        <f>SUM(C29:H29)</f>
        <v>172</v>
      </c>
      <c r="J29" s="155">
        <f>+(I29+F29)*0.96</f>
        <v>199.68</v>
      </c>
      <c r="K29" s="149"/>
      <c r="L29" s="156"/>
      <c r="M29" s="146"/>
    </row>
    <row r="30" spans="1:13" ht="18">
      <c r="A30" s="146"/>
      <c r="B30" s="151" t="s">
        <v>103</v>
      </c>
      <c r="C30" s="162">
        <v>6258</v>
      </c>
      <c r="D30" s="162">
        <v>11532</v>
      </c>
      <c r="E30" s="157">
        <v>15656</v>
      </c>
      <c r="F30" s="157">
        <f>+D30+C30</f>
        <v>17790</v>
      </c>
      <c r="G30" s="157">
        <v>28061</v>
      </c>
      <c r="H30" s="157">
        <v>6258</v>
      </c>
      <c r="I30" s="157"/>
      <c r="J30" s="158"/>
      <c r="K30" s="149"/>
      <c r="L30" s="159">
        <f>+E55</f>
        <v>5.63</v>
      </c>
      <c r="M30" s="146"/>
    </row>
    <row r="31" spans="1:13" ht="18.75" thickBot="1">
      <c r="A31" s="146"/>
      <c r="B31" s="153" t="s">
        <v>127</v>
      </c>
      <c r="C31" s="160"/>
      <c r="D31" s="160"/>
      <c r="E31" s="160">
        <f>+E29*E30</f>
        <v>281808</v>
      </c>
      <c r="F31" s="160">
        <f>+F29*F30</f>
        <v>640440</v>
      </c>
      <c r="G31" s="160">
        <f>+G29*G30</f>
        <v>168366</v>
      </c>
      <c r="H31" s="160">
        <f>+H29*H30</f>
        <v>700896</v>
      </c>
      <c r="I31" s="160"/>
      <c r="J31" s="160">
        <f>+SUM(C31:I31)*0.97</f>
        <v>1737764.7</v>
      </c>
      <c r="K31" s="149"/>
      <c r="L31" s="161"/>
      <c r="M31" s="146"/>
    </row>
    <row r="32" spans="1:13" ht="18">
      <c r="A32" s="146"/>
      <c r="B32" s="262" t="s">
        <v>63</v>
      </c>
      <c r="C32" s="262"/>
      <c r="D32" s="262"/>
      <c r="E32" s="262"/>
      <c r="F32" s="262"/>
      <c r="G32" s="262"/>
      <c r="H32" s="263"/>
      <c r="I32" s="226">
        <f>+I29+I26+I20+I17+I14+I11+I8</f>
        <v>2360</v>
      </c>
      <c r="J32" s="226">
        <f>+J29+J26+J20+J17+J14+J11+J8</f>
        <v>3213.12</v>
      </c>
      <c r="K32" s="225"/>
      <c r="L32" s="225"/>
      <c r="M32" s="146"/>
    </row>
    <row r="33" spans="1:13" ht="18.75" thickBot="1">
      <c r="A33" s="146"/>
      <c r="B33" s="225"/>
      <c r="C33" s="225"/>
      <c r="D33" s="225"/>
      <c r="E33" s="225"/>
      <c r="F33" s="225"/>
      <c r="G33" s="225"/>
      <c r="H33" s="225"/>
      <c r="I33" s="153"/>
      <c r="J33" s="227">
        <f>+J31+J28+J22+J19+J16+J13+J10</f>
        <v>38706056.470000006</v>
      </c>
      <c r="K33" s="225"/>
      <c r="L33" s="225"/>
      <c r="M33" s="146"/>
    </row>
    <row r="34" spans="1:13" ht="14.25">
      <c r="A34" s="146"/>
      <c r="B34" s="146"/>
      <c r="C34" s="146"/>
      <c r="D34" s="146"/>
      <c r="E34" s="146"/>
      <c r="F34" s="146"/>
      <c r="G34" s="146"/>
      <c r="H34" s="146"/>
      <c r="I34" s="146"/>
      <c r="J34" s="224"/>
      <c r="K34" s="146"/>
      <c r="L34" s="163"/>
      <c r="M34" s="146"/>
    </row>
    <row r="35" spans="1:13" ht="27" thickBot="1">
      <c r="A35" s="146"/>
      <c r="B35" s="258" t="s">
        <v>105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146"/>
    </row>
    <row r="36" spans="1:13" ht="18">
      <c r="A36" s="146"/>
      <c r="B36" s="148" t="s">
        <v>37</v>
      </c>
      <c r="C36" s="148" t="s">
        <v>64</v>
      </c>
      <c r="D36" s="148" t="s">
        <v>64</v>
      </c>
      <c r="E36" s="148" t="s">
        <v>64</v>
      </c>
      <c r="F36" s="148" t="s">
        <v>64</v>
      </c>
      <c r="G36" s="148" t="s">
        <v>64</v>
      </c>
      <c r="H36" s="148" t="s">
        <v>64</v>
      </c>
      <c r="I36" s="148" t="s">
        <v>64</v>
      </c>
      <c r="J36" s="148" t="s">
        <v>64</v>
      </c>
      <c r="K36" s="149"/>
      <c r="L36" s="164" t="s">
        <v>125</v>
      </c>
      <c r="M36" s="146"/>
    </row>
    <row r="37" spans="1:13" ht="18">
      <c r="A37" s="146"/>
      <c r="B37" s="151" t="s">
        <v>45</v>
      </c>
      <c r="C37" s="151" t="s">
        <v>65</v>
      </c>
      <c r="D37" s="151" t="s">
        <v>65</v>
      </c>
      <c r="E37" s="151" t="s">
        <v>65</v>
      </c>
      <c r="F37" s="151" t="s">
        <v>65</v>
      </c>
      <c r="G37" s="151" t="s">
        <v>65</v>
      </c>
      <c r="H37" s="151" t="s">
        <v>65</v>
      </c>
      <c r="I37" s="151" t="s">
        <v>65</v>
      </c>
      <c r="J37" s="151" t="s">
        <v>65</v>
      </c>
      <c r="K37" s="149"/>
      <c r="L37" s="165" t="s">
        <v>126</v>
      </c>
      <c r="M37" s="146"/>
    </row>
    <row r="38" spans="1:13" ht="18.75" thickBot="1">
      <c r="A38" s="146"/>
      <c r="B38" s="153" t="s">
        <v>50</v>
      </c>
      <c r="C38" s="166">
        <v>62</v>
      </c>
      <c r="D38" s="166">
        <v>75</v>
      </c>
      <c r="E38" s="166">
        <v>85</v>
      </c>
      <c r="F38" s="166">
        <v>95</v>
      </c>
      <c r="G38" s="166">
        <v>100</v>
      </c>
      <c r="H38" s="166">
        <v>105</v>
      </c>
      <c r="I38" s="166">
        <v>110</v>
      </c>
      <c r="J38" s="166">
        <v>100</v>
      </c>
      <c r="K38" s="149"/>
      <c r="L38" s="154" t="s">
        <v>27</v>
      </c>
      <c r="M38" s="146"/>
    </row>
    <row r="39" spans="1:13" ht="18">
      <c r="A39" s="146"/>
      <c r="B39" s="167" t="s">
        <v>68</v>
      </c>
      <c r="C39" s="168">
        <f aca="true" t="shared" si="0" ref="C39:J39">+$J10*C$38</f>
        <v>123419909.39999999</v>
      </c>
      <c r="D39" s="168">
        <f t="shared" si="0"/>
        <v>149298277.5</v>
      </c>
      <c r="E39" s="168">
        <f t="shared" si="0"/>
        <v>169204714.5</v>
      </c>
      <c r="F39" s="168">
        <f t="shared" si="0"/>
        <v>189111151.5</v>
      </c>
      <c r="G39" s="168">
        <f t="shared" si="0"/>
        <v>199064370</v>
      </c>
      <c r="H39" s="168">
        <f t="shared" si="0"/>
        <v>209017588.5</v>
      </c>
      <c r="I39" s="168">
        <f t="shared" si="0"/>
        <v>218970807</v>
      </c>
      <c r="J39" s="168">
        <f t="shared" si="0"/>
        <v>199064370</v>
      </c>
      <c r="K39" s="146"/>
      <c r="L39" s="169">
        <f>+L9*J10</f>
        <v>9415744.701000001</v>
      </c>
      <c r="M39" s="146"/>
    </row>
    <row r="40" spans="1:13" ht="18">
      <c r="A40" s="146"/>
      <c r="B40" s="170" t="s">
        <v>57</v>
      </c>
      <c r="C40" s="171">
        <f aca="true" t="shared" si="1" ref="C40:J40">+$J13*C$38</f>
        <v>272116119.54</v>
      </c>
      <c r="D40" s="171">
        <f t="shared" si="1"/>
        <v>329172725.25</v>
      </c>
      <c r="E40" s="171">
        <f t="shared" si="1"/>
        <v>373062421.95</v>
      </c>
      <c r="F40" s="171">
        <f t="shared" si="1"/>
        <v>416952118.65</v>
      </c>
      <c r="G40" s="171">
        <f t="shared" si="1"/>
        <v>438896967</v>
      </c>
      <c r="H40" s="171">
        <f t="shared" si="1"/>
        <v>460841815.34999996</v>
      </c>
      <c r="I40" s="171">
        <f t="shared" si="1"/>
        <v>482786663.7</v>
      </c>
      <c r="J40" s="171">
        <f t="shared" si="1"/>
        <v>438896967</v>
      </c>
      <c r="K40" s="146"/>
      <c r="L40" s="172">
        <f>+L12*J13</f>
        <v>21286502.899499997</v>
      </c>
      <c r="M40" s="146"/>
    </row>
    <row r="41" spans="1:13" ht="18">
      <c r="A41" s="146"/>
      <c r="B41" s="170" t="s">
        <v>58</v>
      </c>
      <c r="C41" s="171">
        <f aca="true" t="shared" si="2" ref="C41:J41">+$J16*C$38</f>
        <v>479746402.40000004</v>
      </c>
      <c r="D41" s="171">
        <f t="shared" si="2"/>
        <v>580338390</v>
      </c>
      <c r="E41" s="171">
        <f t="shared" si="2"/>
        <v>657716842</v>
      </c>
      <c r="F41" s="171">
        <f t="shared" si="2"/>
        <v>735095294</v>
      </c>
      <c r="G41" s="171">
        <f t="shared" si="2"/>
        <v>773784520</v>
      </c>
      <c r="H41" s="171">
        <f t="shared" si="2"/>
        <v>812473746</v>
      </c>
      <c r="I41" s="171">
        <f t="shared" si="2"/>
        <v>851162972</v>
      </c>
      <c r="J41" s="171">
        <f t="shared" si="2"/>
        <v>773784520</v>
      </c>
      <c r="K41" s="146"/>
      <c r="L41" s="172">
        <f>+L15*J16</f>
        <v>34046518.88</v>
      </c>
      <c r="M41" s="146"/>
    </row>
    <row r="42" spans="1:13" ht="18">
      <c r="A42" s="146"/>
      <c r="B42" s="170" t="s">
        <v>59</v>
      </c>
      <c r="C42" s="171">
        <f aca="true" t="shared" si="3" ref="C42:J42">+$J19*C$38</f>
        <v>192982644.6</v>
      </c>
      <c r="D42" s="171">
        <f t="shared" si="3"/>
        <v>233446747.5</v>
      </c>
      <c r="E42" s="171">
        <f t="shared" si="3"/>
        <v>264572980.49999997</v>
      </c>
      <c r="F42" s="171">
        <f t="shared" si="3"/>
        <v>295699213.5</v>
      </c>
      <c r="G42" s="171">
        <f t="shared" si="3"/>
        <v>311262330</v>
      </c>
      <c r="H42" s="171">
        <f t="shared" si="3"/>
        <v>326825446.5</v>
      </c>
      <c r="I42" s="171">
        <f t="shared" si="3"/>
        <v>342388563</v>
      </c>
      <c r="J42" s="171">
        <f t="shared" si="3"/>
        <v>311262330</v>
      </c>
      <c r="K42" s="146"/>
      <c r="L42" s="172">
        <f>+L18*J19</f>
        <v>14411445.878999999</v>
      </c>
      <c r="M42" s="146"/>
    </row>
    <row r="43" spans="1:13" ht="18">
      <c r="A43" s="146"/>
      <c r="B43" s="170" t="s">
        <v>60</v>
      </c>
      <c r="C43" s="171">
        <f aca="true" t="shared" si="4" ref="C43:J43">+$J22*C$38</f>
        <v>99591659.57999998</v>
      </c>
      <c r="D43" s="171">
        <f t="shared" si="4"/>
        <v>120473781.74999999</v>
      </c>
      <c r="E43" s="171">
        <f t="shared" si="4"/>
        <v>136536952.64999998</v>
      </c>
      <c r="F43" s="171">
        <f t="shared" si="4"/>
        <v>152600123.54999998</v>
      </c>
      <c r="G43" s="171">
        <f t="shared" si="4"/>
        <v>160631709</v>
      </c>
      <c r="H43" s="171">
        <f t="shared" si="4"/>
        <v>168663294.45</v>
      </c>
      <c r="I43" s="171">
        <f t="shared" si="4"/>
        <v>176694879.89999998</v>
      </c>
      <c r="J43" s="171">
        <f t="shared" si="4"/>
        <v>160631709</v>
      </c>
      <c r="K43" s="146"/>
      <c r="L43" s="172">
        <f>+L21*J22</f>
        <v>7999459.1082</v>
      </c>
      <c r="M43" s="146"/>
    </row>
    <row r="44" spans="1:13" ht="18">
      <c r="A44" s="146"/>
      <c r="B44" s="170" t="s">
        <v>61</v>
      </c>
      <c r="C44" s="171">
        <f aca="true" t="shared" si="5" ref="C44:J44">+$J28*C$38</f>
        <v>1124177354.2200003</v>
      </c>
      <c r="D44" s="171">
        <f t="shared" si="5"/>
        <v>1359891960.7500002</v>
      </c>
      <c r="E44" s="171">
        <f t="shared" si="5"/>
        <v>1541210888.8500001</v>
      </c>
      <c r="F44" s="171">
        <f t="shared" si="5"/>
        <v>1722529816.9500003</v>
      </c>
      <c r="G44" s="171">
        <f t="shared" si="5"/>
        <v>1813189281.0000002</v>
      </c>
      <c r="H44" s="171">
        <f t="shared" si="5"/>
        <v>1903848745.0500002</v>
      </c>
      <c r="I44" s="171">
        <f t="shared" si="5"/>
        <v>1994508209.1000004</v>
      </c>
      <c r="J44" s="171">
        <f t="shared" si="5"/>
        <v>1813189281.0000002</v>
      </c>
      <c r="K44" s="146"/>
      <c r="L44" s="172">
        <f>+L27*J28</f>
        <v>74703398.3772</v>
      </c>
      <c r="M44" s="146"/>
    </row>
    <row r="45" spans="1:13" ht="18">
      <c r="A45" s="146"/>
      <c r="B45" s="170" t="s">
        <v>128</v>
      </c>
      <c r="C45" s="233">
        <f>+$J$25*C38</f>
        <v>501099349.96</v>
      </c>
      <c r="D45" s="233">
        <f aca="true" t="shared" si="6" ref="D45:J45">+$J$25*D38</f>
        <v>606168568.5</v>
      </c>
      <c r="E45" s="233">
        <f t="shared" si="6"/>
        <v>686991044.3</v>
      </c>
      <c r="F45" s="233">
        <f t="shared" si="6"/>
        <v>767813520.1</v>
      </c>
      <c r="G45" s="233">
        <f t="shared" si="6"/>
        <v>808224758</v>
      </c>
      <c r="H45" s="233">
        <f t="shared" si="6"/>
        <v>848635995.9</v>
      </c>
      <c r="I45" s="233">
        <f t="shared" si="6"/>
        <v>889047233.8</v>
      </c>
      <c r="J45" s="233">
        <f t="shared" si="6"/>
        <v>808224758</v>
      </c>
      <c r="K45" s="146"/>
      <c r="L45" s="172">
        <f>+L24*J25</f>
        <v>37339983.8196</v>
      </c>
      <c r="M45" s="146"/>
    </row>
    <row r="46" spans="1:13" ht="18.75" thickBot="1">
      <c r="A46" s="146"/>
      <c r="B46" s="153" t="s">
        <v>62</v>
      </c>
      <c r="C46" s="173">
        <f aca="true" t="shared" si="7" ref="C46:J46">+$J31*C$38</f>
        <v>107741411.39999999</v>
      </c>
      <c r="D46" s="173">
        <f t="shared" si="7"/>
        <v>130332352.5</v>
      </c>
      <c r="E46" s="173">
        <f t="shared" si="7"/>
        <v>147709999.5</v>
      </c>
      <c r="F46" s="173">
        <f t="shared" si="7"/>
        <v>165087646.5</v>
      </c>
      <c r="G46" s="173">
        <f t="shared" si="7"/>
        <v>173776470</v>
      </c>
      <c r="H46" s="173">
        <f t="shared" si="7"/>
        <v>182465293.5</v>
      </c>
      <c r="I46" s="173">
        <f t="shared" si="7"/>
        <v>191154117</v>
      </c>
      <c r="J46" s="173">
        <f t="shared" si="7"/>
        <v>173776470</v>
      </c>
      <c r="K46" s="146"/>
      <c r="L46" s="172">
        <f>+L30*J31</f>
        <v>9783615.261</v>
      </c>
      <c r="M46" s="146"/>
    </row>
    <row r="47" spans="1:13" ht="18.75" thickBot="1">
      <c r="A47" s="146"/>
      <c r="B47" s="174" t="s">
        <v>44</v>
      </c>
      <c r="C47" s="175">
        <f>SUM(C39:C46)</f>
        <v>2900874851.1000004</v>
      </c>
      <c r="D47" s="175">
        <f aca="true" t="shared" si="8" ref="D47:L47">SUM(D39:D46)</f>
        <v>3509122803.75</v>
      </c>
      <c r="E47" s="175">
        <f t="shared" si="8"/>
        <v>3977005844.25</v>
      </c>
      <c r="F47" s="175">
        <f t="shared" si="8"/>
        <v>4444888884.75</v>
      </c>
      <c r="G47" s="175">
        <f t="shared" si="8"/>
        <v>4678830405</v>
      </c>
      <c r="H47" s="175">
        <f t="shared" si="8"/>
        <v>4912771925.25</v>
      </c>
      <c r="I47" s="175">
        <f t="shared" si="8"/>
        <v>5146713445.5</v>
      </c>
      <c r="J47" s="175">
        <f t="shared" si="8"/>
        <v>4678830405</v>
      </c>
      <c r="K47" s="146"/>
      <c r="L47" s="176">
        <f t="shared" si="8"/>
        <v>208986668.9255</v>
      </c>
      <c r="M47" s="146"/>
    </row>
    <row r="48" spans="1:13" ht="15.75">
      <c r="A48" s="14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6"/>
    </row>
    <row r="49" spans="1:13" ht="15.75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6"/>
    </row>
    <row r="50" spans="1:13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63"/>
      <c r="M50" s="146"/>
    </row>
    <row r="51" spans="1:13" ht="27" thickBot="1">
      <c r="A51" s="146"/>
      <c r="B51" s="259" t="s">
        <v>104</v>
      </c>
      <c r="C51" s="259"/>
      <c r="D51" s="259"/>
      <c r="E51" s="259"/>
      <c r="F51" s="259"/>
      <c r="G51" s="259"/>
      <c r="H51" s="259"/>
      <c r="I51" s="259"/>
      <c r="J51" s="259"/>
      <c r="K51" s="146"/>
      <c r="L51" s="163"/>
      <c r="M51" s="146"/>
    </row>
    <row r="52" spans="1:13" ht="18">
      <c r="A52" s="146"/>
      <c r="B52" s="177" t="s">
        <v>66</v>
      </c>
      <c r="C52" s="177" t="s">
        <v>58</v>
      </c>
      <c r="D52" s="177" t="s">
        <v>57</v>
      </c>
      <c r="E52" s="177" t="s">
        <v>62</v>
      </c>
      <c r="F52" s="177" t="s">
        <v>67</v>
      </c>
      <c r="G52" s="177" t="s">
        <v>68</v>
      </c>
      <c r="H52" s="177" t="s">
        <v>59</v>
      </c>
      <c r="I52" s="177" t="s">
        <v>128</v>
      </c>
      <c r="J52" s="177" t="s">
        <v>61</v>
      </c>
      <c r="K52" s="149"/>
      <c r="L52" s="178" t="s">
        <v>78</v>
      </c>
      <c r="M52" s="146"/>
    </row>
    <row r="53" spans="1:13" ht="18">
      <c r="A53" s="146"/>
      <c r="B53" s="179"/>
      <c r="C53" s="179" t="s">
        <v>27</v>
      </c>
      <c r="D53" s="179" t="s">
        <v>27</v>
      </c>
      <c r="E53" s="179" t="s">
        <v>27</v>
      </c>
      <c r="F53" s="179" t="s">
        <v>27</v>
      </c>
      <c r="G53" s="179" t="s">
        <v>27</v>
      </c>
      <c r="H53" s="179" t="s">
        <v>27</v>
      </c>
      <c r="I53" s="179" t="s">
        <v>27</v>
      </c>
      <c r="J53" s="179" t="s">
        <v>27</v>
      </c>
      <c r="K53" s="149"/>
      <c r="L53" s="180" t="s">
        <v>77</v>
      </c>
      <c r="M53" s="146"/>
    </row>
    <row r="54" spans="1:13" ht="18.75" thickBot="1">
      <c r="A54" s="146"/>
      <c r="B54" s="181"/>
      <c r="C54" s="181" t="s">
        <v>69</v>
      </c>
      <c r="D54" s="181" t="s">
        <v>69</v>
      </c>
      <c r="E54" s="181" t="s">
        <v>69</v>
      </c>
      <c r="F54" s="181" t="s">
        <v>69</v>
      </c>
      <c r="G54" s="181" t="s">
        <v>69</v>
      </c>
      <c r="H54" s="181" t="s">
        <v>69</v>
      </c>
      <c r="I54" s="181" t="s">
        <v>69</v>
      </c>
      <c r="J54" s="181" t="s">
        <v>69</v>
      </c>
      <c r="K54" s="149"/>
      <c r="L54" s="154" t="s">
        <v>27</v>
      </c>
      <c r="M54" s="146"/>
    </row>
    <row r="55" spans="1:13" ht="18.75" thickBot="1">
      <c r="A55" s="146"/>
      <c r="B55" s="179">
        <v>2007</v>
      </c>
      <c r="C55" s="222">
        <v>4.4</v>
      </c>
      <c r="D55" s="222">
        <v>4.85</v>
      </c>
      <c r="E55" s="222">
        <v>5.63</v>
      </c>
      <c r="F55" s="222">
        <v>4.98</v>
      </c>
      <c r="G55" s="222">
        <v>4.73</v>
      </c>
      <c r="H55" s="222">
        <v>4.63</v>
      </c>
      <c r="I55" s="222">
        <v>4.62</v>
      </c>
      <c r="J55" s="222">
        <v>4.12</v>
      </c>
      <c r="K55" s="149"/>
      <c r="L55" s="223">
        <f aca="true" t="shared" si="9" ref="L55:L71">(SUM(C55:J55))/COUNT(C55:J55)</f>
        <v>4.744999999999999</v>
      </c>
      <c r="M55" s="146"/>
    </row>
    <row r="56" spans="1:13" ht="18">
      <c r="A56" s="146"/>
      <c r="B56" s="182">
        <v>2006</v>
      </c>
      <c r="C56" s="228">
        <v>4.24</v>
      </c>
      <c r="D56" s="228">
        <v>4.69</v>
      </c>
      <c r="E56" s="228">
        <v>5.27</v>
      </c>
      <c r="F56" s="228">
        <v>4.34</v>
      </c>
      <c r="G56" s="228">
        <v>4.61</v>
      </c>
      <c r="H56" s="228">
        <v>4.48</v>
      </c>
      <c r="I56" s="228"/>
      <c r="J56" s="228">
        <v>3.98</v>
      </c>
      <c r="K56" s="149"/>
      <c r="L56" s="229">
        <f t="shared" si="9"/>
        <v>4.515714285714286</v>
      </c>
      <c r="M56" s="146"/>
    </row>
    <row r="57" spans="1:13" ht="18">
      <c r="A57" s="146"/>
      <c r="B57" s="183">
        <v>2005</v>
      </c>
      <c r="C57" s="184">
        <v>3.86</v>
      </c>
      <c r="D57" s="184">
        <v>4.41</v>
      </c>
      <c r="E57" s="184">
        <v>4.87</v>
      </c>
      <c r="F57" s="184">
        <v>4.04</v>
      </c>
      <c r="G57" s="184">
        <v>4.35</v>
      </c>
      <c r="H57" s="184">
        <v>4.27</v>
      </c>
      <c r="I57" s="184"/>
      <c r="J57" s="184">
        <v>3.83</v>
      </c>
      <c r="K57" s="149"/>
      <c r="L57" s="185">
        <f t="shared" si="9"/>
        <v>4.232857142857143</v>
      </c>
      <c r="M57" s="146"/>
    </row>
    <row r="58" spans="1:13" ht="18">
      <c r="A58" s="146"/>
      <c r="B58" s="183">
        <v>2004</v>
      </c>
      <c r="C58" s="184">
        <v>3.68</v>
      </c>
      <c r="D58" s="184">
        <v>4.25</v>
      </c>
      <c r="E58" s="184">
        <v>4.67</v>
      </c>
      <c r="F58" s="184">
        <v>3.86</v>
      </c>
      <c r="G58" s="184">
        <v>4.22</v>
      </c>
      <c r="H58" s="184">
        <v>4.17</v>
      </c>
      <c r="I58" s="184"/>
      <c r="J58" s="184">
        <v>3.8</v>
      </c>
      <c r="K58" s="149"/>
      <c r="L58" s="185">
        <f t="shared" si="9"/>
        <v>4.092857142857143</v>
      </c>
      <c r="M58" s="146"/>
    </row>
    <row r="59" spans="1:13" ht="18">
      <c r="A59" s="146"/>
      <c r="B59" s="186">
        <v>2003</v>
      </c>
      <c r="C59" s="187">
        <v>3.49</v>
      </c>
      <c r="D59" s="187">
        <v>4.11</v>
      </c>
      <c r="E59" s="187">
        <v>4.37</v>
      </c>
      <c r="F59" s="187">
        <v>3.69</v>
      </c>
      <c r="G59" s="187">
        <v>4.05</v>
      </c>
      <c r="H59" s="187">
        <v>3.97</v>
      </c>
      <c r="I59" s="187"/>
      <c r="J59" s="187"/>
      <c r="K59" s="149"/>
      <c r="L59" s="188">
        <f t="shared" si="9"/>
        <v>3.9466666666666668</v>
      </c>
      <c r="M59" s="146"/>
    </row>
    <row r="60" spans="1:13" ht="18">
      <c r="A60" s="146"/>
      <c r="B60" s="186">
        <v>2002</v>
      </c>
      <c r="C60" s="187">
        <v>3.22</v>
      </c>
      <c r="D60" s="187">
        <v>3.92</v>
      </c>
      <c r="E60" s="187">
        <v>4.17</v>
      </c>
      <c r="F60" s="187">
        <v>3.49</v>
      </c>
      <c r="G60" s="187">
        <v>3.8</v>
      </c>
      <c r="H60" s="187">
        <v>3.77</v>
      </c>
      <c r="I60" s="187"/>
      <c r="J60" s="187"/>
      <c r="K60" s="149"/>
      <c r="L60" s="188">
        <f t="shared" si="9"/>
        <v>3.7283333333333335</v>
      </c>
      <c r="M60" s="146"/>
    </row>
    <row r="61" spans="1:13" ht="18">
      <c r="A61" s="146"/>
      <c r="B61" s="186">
        <v>2001</v>
      </c>
      <c r="C61" s="187">
        <v>3.13</v>
      </c>
      <c r="D61" s="187">
        <v>3.83</v>
      </c>
      <c r="E61" s="187">
        <v>3.98</v>
      </c>
      <c r="F61" s="187">
        <v>3.32</v>
      </c>
      <c r="G61" s="187">
        <v>3.63</v>
      </c>
      <c r="H61" s="187"/>
      <c r="I61" s="187"/>
      <c r="J61" s="187"/>
      <c r="K61" s="149"/>
      <c r="L61" s="188">
        <f t="shared" si="9"/>
        <v>3.5780000000000003</v>
      </c>
      <c r="M61" s="146"/>
    </row>
    <row r="62" spans="1:13" ht="18">
      <c r="A62" s="146"/>
      <c r="B62" s="186">
        <v>2000</v>
      </c>
      <c r="C62" s="187">
        <v>3.16</v>
      </c>
      <c r="D62" s="187">
        <v>3.94</v>
      </c>
      <c r="E62" s="187">
        <v>4.07</v>
      </c>
      <c r="F62" s="187">
        <v>3.25</v>
      </c>
      <c r="G62" s="187">
        <v>3.62</v>
      </c>
      <c r="H62" s="187"/>
      <c r="I62" s="187"/>
      <c r="J62" s="187"/>
      <c r="K62" s="149"/>
      <c r="L62" s="188">
        <f t="shared" si="9"/>
        <v>3.6079999999999997</v>
      </c>
      <c r="M62" s="146"/>
    </row>
    <row r="63" spans="1:13" ht="18">
      <c r="A63" s="146"/>
      <c r="B63" s="186">
        <v>1999</v>
      </c>
      <c r="C63" s="187">
        <v>3.16</v>
      </c>
      <c r="D63" s="187">
        <v>4.02</v>
      </c>
      <c r="E63" s="187"/>
      <c r="F63" s="187">
        <v>3.18</v>
      </c>
      <c r="G63" s="187"/>
      <c r="H63" s="187"/>
      <c r="I63" s="187"/>
      <c r="J63" s="187"/>
      <c r="K63" s="149"/>
      <c r="L63" s="188">
        <f t="shared" si="9"/>
        <v>3.453333333333333</v>
      </c>
      <c r="M63" s="146"/>
    </row>
    <row r="64" spans="1:13" ht="18">
      <c r="A64" s="146"/>
      <c r="B64" s="186">
        <v>1998</v>
      </c>
      <c r="C64" s="187">
        <v>3.17</v>
      </c>
      <c r="D64" s="187">
        <v>3.94</v>
      </c>
      <c r="E64" s="187"/>
      <c r="F64" s="187">
        <v>3.2</v>
      </c>
      <c r="G64" s="187"/>
      <c r="H64" s="187"/>
      <c r="I64" s="187"/>
      <c r="J64" s="187"/>
      <c r="K64" s="149"/>
      <c r="L64" s="188">
        <f t="shared" si="9"/>
        <v>3.436666666666666</v>
      </c>
      <c r="M64" s="146"/>
    </row>
    <row r="65" spans="1:13" ht="18">
      <c r="A65" s="146"/>
      <c r="B65" s="186">
        <v>1997</v>
      </c>
      <c r="C65" s="187">
        <v>3.14</v>
      </c>
      <c r="D65" s="187">
        <v>3.84</v>
      </c>
      <c r="E65" s="187"/>
      <c r="F65" s="187">
        <v>3.16</v>
      </c>
      <c r="G65" s="187"/>
      <c r="H65" s="187"/>
      <c r="I65" s="187"/>
      <c r="J65" s="187"/>
      <c r="K65" s="149"/>
      <c r="L65" s="188">
        <f t="shared" si="9"/>
        <v>3.3800000000000003</v>
      </c>
      <c r="M65" s="146"/>
    </row>
    <row r="66" spans="1:13" ht="18">
      <c r="A66" s="146"/>
      <c r="B66" s="186">
        <v>1996</v>
      </c>
      <c r="C66" s="187">
        <v>2.99</v>
      </c>
      <c r="D66" s="187">
        <v>3.7</v>
      </c>
      <c r="E66" s="187"/>
      <c r="F66" s="187">
        <v>3.16</v>
      </c>
      <c r="G66" s="187"/>
      <c r="H66" s="187"/>
      <c r="I66" s="187"/>
      <c r="J66" s="187"/>
      <c r="K66" s="149"/>
      <c r="L66" s="188">
        <f t="shared" si="9"/>
        <v>3.2833333333333337</v>
      </c>
      <c r="M66" s="146"/>
    </row>
    <row r="67" spans="1:13" ht="18">
      <c r="A67" s="146"/>
      <c r="B67" s="186">
        <v>1995</v>
      </c>
      <c r="C67" s="187">
        <v>2.84</v>
      </c>
      <c r="D67" s="187"/>
      <c r="E67" s="187"/>
      <c r="F67" s="187"/>
      <c r="G67" s="187"/>
      <c r="H67" s="187"/>
      <c r="I67" s="187"/>
      <c r="J67" s="187"/>
      <c r="K67" s="149"/>
      <c r="L67" s="188">
        <f t="shared" si="9"/>
        <v>2.84</v>
      </c>
      <c r="M67" s="146"/>
    </row>
    <row r="68" spans="1:13" ht="18">
      <c r="A68" s="146"/>
      <c r="B68" s="186">
        <v>1994</v>
      </c>
      <c r="C68" s="187">
        <v>2.7</v>
      </c>
      <c r="D68" s="187"/>
      <c r="E68" s="187"/>
      <c r="F68" s="187"/>
      <c r="G68" s="187"/>
      <c r="H68" s="187"/>
      <c r="I68" s="187"/>
      <c r="J68" s="187"/>
      <c r="K68" s="149"/>
      <c r="L68" s="188">
        <f t="shared" si="9"/>
        <v>2.7</v>
      </c>
      <c r="M68" s="146"/>
    </row>
    <row r="69" spans="1:13" ht="18">
      <c r="A69" s="146"/>
      <c r="B69" s="186">
        <v>1993</v>
      </c>
      <c r="C69" s="187">
        <v>2.63</v>
      </c>
      <c r="D69" s="187"/>
      <c r="E69" s="187"/>
      <c r="F69" s="187"/>
      <c r="G69" s="187"/>
      <c r="H69" s="187"/>
      <c r="I69" s="187"/>
      <c r="J69" s="187"/>
      <c r="K69" s="149"/>
      <c r="L69" s="188">
        <f t="shared" si="9"/>
        <v>2.63</v>
      </c>
      <c r="M69" s="146"/>
    </row>
    <row r="70" spans="1:13" ht="18">
      <c r="A70" s="146"/>
      <c r="B70" s="186">
        <v>1992</v>
      </c>
      <c r="C70" s="187">
        <v>2.56</v>
      </c>
      <c r="D70" s="187"/>
      <c r="E70" s="187"/>
      <c r="F70" s="187"/>
      <c r="G70" s="187"/>
      <c r="H70" s="187"/>
      <c r="I70" s="187"/>
      <c r="J70" s="187"/>
      <c r="K70" s="149"/>
      <c r="L70" s="188">
        <f t="shared" si="9"/>
        <v>2.56</v>
      </c>
      <c r="M70" s="146"/>
    </row>
    <row r="71" spans="1:13" ht="18.75" thickBot="1">
      <c r="A71" s="146"/>
      <c r="B71" s="189">
        <v>1991</v>
      </c>
      <c r="C71" s="190">
        <v>2.51</v>
      </c>
      <c r="D71" s="191"/>
      <c r="E71" s="191"/>
      <c r="F71" s="191"/>
      <c r="G71" s="191"/>
      <c r="H71" s="191"/>
      <c r="I71" s="191"/>
      <c r="J71" s="191"/>
      <c r="K71" s="149"/>
      <c r="L71" s="192">
        <f t="shared" si="9"/>
        <v>2.51</v>
      </c>
      <c r="M71" s="146"/>
    </row>
    <row r="72" spans="1:13" ht="18">
      <c r="A72" s="146"/>
      <c r="B72" s="193" t="s">
        <v>77</v>
      </c>
      <c r="C72" s="194">
        <f aca="true" t="shared" si="10" ref="C72:J72">(SUM(C55:C71)/COUNT(C55:C71))</f>
        <v>3.2282352941176478</v>
      </c>
      <c r="D72" s="194">
        <f t="shared" si="10"/>
        <v>4.125</v>
      </c>
      <c r="E72" s="194">
        <f t="shared" si="10"/>
        <v>4.628749999999999</v>
      </c>
      <c r="F72" s="194">
        <f t="shared" si="10"/>
        <v>3.6391666666666667</v>
      </c>
      <c r="G72" s="194">
        <f t="shared" si="10"/>
        <v>4.12625</v>
      </c>
      <c r="H72" s="194">
        <f t="shared" si="10"/>
        <v>4.214999999999999</v>
      </c>
      <c r="I72" s="194">
        <f t="shared" si="10"/>
        <v>4.62</v>
      </c>
      <c r="J72" s="194">
        <f t="shared" si="10"/>
        <v>3.9325</v>
      </c>
      <c r="K72" s="149"/>
      <c r="L72" s="195">
        <f>(SUM(L55:L71)/COUNT(L55:L71))</f>
        <v>3.4847507002801126</v>
      </c>
      <c r="M72" s="146"/>
    </row>
    <row r="73" spans="1:13" ht="18.75" thickBot="1">
      <c r="A73" s="146"/>
      <c r="B73" s="196" t="s">
        <v>73</v>
      </c>
      <c r="C73" s="197">
        <f aca="true" t="shared" si="11" ref="C73:J73">MEDIAN(C55:C71)</f>
        <v>3.16</v>
      </c>
      <c r="D73" s="197">
        <f t="shared" si="11"/>
        <v>3.9799999999999995</v>
      </c>
      <c r="E73" s="197">
        <f t="shared" si="11"/>
        <v>4.52</v>
      </c>
      <c r="F73" s="197">
        <f t="shared" si="11"/>
        <v>3.4050000000000002</v>
      </c>
      <c r="G73" s="197">
        <f t="shared" si="11"/>
        <v>4.135</v>
      </c>
      <c r="H73" s="197">
        <f t="shared" si="11"/>
        <v>4.22</v>
      </c>
      <c r="I73" s="197">
        <f t="shared" si="11"/>
        <v>4.62</v>
      </c>
      <c r="J73" s="197">
        <f t="shared" si="11"/>
        <v>3.9050000000000002</v>
      </c>
      <c r="K73" s="149"/>
      <c r="L73" s="198">
        <f>MEDIAN(L55:L71)</f>
        <v>3.453333333333333</v>
      </c>
      <c r="M73" s="146"/>
    </row>
    <row r="74" spans="1:13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63"/>
      <c r="M74" s="146"/>
    </row>
    <row r="75" spans="1:13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63"/>
      <c r="M75" s="146"/>
    </row>
    <row r="76" spans="1:13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63"/>
      <c r="M76" s="146"/>
    </row>
    <row r="77" spans="1:13" ht="27" thickBot="1">
      <c r="A77" s="146"/>
      <c r="B77" s="259" t="s">
        <v>70</v>
      </c>
      <c r="C77" s="259"/>
      <c r="D77" s="259"/>
      <c r="E77" s="259"/>
      <c r="F77" s="259"/>
      <c r="G77" s="259"/>
      <c r="H77" s="259"/>
      <c r="I77" s="259"/>
      <c r="J77" s="259"/>
      <c r="K77" s="146"/>
      <c r="L77" s="163"/>
      <c r="M77" s="146"/>
    </row>
    <row r="78" spans="1:13" ht="18">
      <c r="A78" s="146"/>
      <c r="B78" s="177" t="s">
        <v>66</v>
      </c>
      <c r="C78" s="177" t="s">
        <v>58</v>
      </c>
      <c r="D78" s="177" t="s">
        <v>57</v>
      </c>
      <c r="E78" s="177" t="s">
        <v>62</v>
      </c>
      <c r="F78" s="177" t="s">
        <v>67</v>
      </c>
      <c r="G78" s="177" t="s">
        <v>68</v>
      </c>
      <c r="H78" s="177" t="s">
        <v>59</v>
      </c>
      <c r="I78" s="177" t="s">
        <v>128</v>
      </c>
      <c r="J78" s="177" t="s">
        <v>61</v>
      </c>
      <c r="K78" s="149"/>
      <c r="L78" s="178" t="s">
        <v>78</v>
      </c>
      <c r="M78" s="146"/>
    </row>
    <row r="79" spans="1:13" ht="18">
      <c r="A79" s="146"/>
      <c r="B79" s="179"/>
      <c r="C79" s="179" t="s">
        <v>71</v>
      </c>
      <c r="D79" s="179" t="s">
        <v>71</v>
      </c>
      <c r="E79" s="179" t="s">
        <v>71</v>
      </c>
      <c r="F79" s="179" t="s">
        <v>71</v>
      </c>
      <c r="G79" s="179" t="s">
        <v>71</v>
      </c>
      <c r="H79" s="179" t="s">
        <v>71</v>
      </c>
      <c r="I79" s="179" t="s">
        <v>71</v>
      </c>
      <c r="J79" s="179" t="s">
        <v>71</v>
      </c>
      <c r="K79" s="149"/>
      <c r="L79" s="180" t="s">
        <v>77</v>
      </c>
      <c r="M79" s="146"/>
    </row>
    <row r="80" spans="1:13" ht="18.75" thickBot="1">
      <c r="A80" s="146"/>
      <c r="B80" s="181"/>
      <c r="C80" s="181" t="s">
        <v>72</v>
      </c>
      <c r="D80" s="181" t="s">
        <v>72</v>
      </c>
      <c r="E80" s="181" t="s">
        <v>72</v>
      </c>
      <c r="F80" s="181" t="s">
        <v>72</v>
      </c>
      <c r="G80" s="181" t="s">
        <v>72</v>
      </c>
      <c r="H80" s="181" t="s">
        <v>72</v>
      </c>
      <c r="I80" s="181" t="s">
        <v>72</v>
      </c>
      <c r="J80" s="181" t="s">
        <v>72</v>
      </c>
      <c r="K80" s="149"/>
      <c r="L80" s="154" t="s">
        <v>30</v>
      </c>
      <c r="M80" s="146"/>
    </row>
    <row r="81" spans="1:13" ht="18">
      <c r="A81" s="146"/>
      <c r="B81" s="182">
        <v>2007</v>
      </c>
      <c r="C81" s="231">
        <f aca="true" t="shared" si="12" ref="C81:J81">1-C56/C55</f>
        <v>0.036363636363636376</v>
      </c>
      <c r="D81" s="231">
        <f t="shared" si="12"/>
        <v>0.03298969072164937</v>
      </c>
      <c r="E81" s="231">
        <f t="shared" si="12"/>
        <v>0.06394316163410307</v>
      </c>
      <c r="F81" s="231">
        <f t="shared" si="12"/>
        <v>0.12851405622489975</v>
      </c>
      <c r="G81" s="231">
        <f t="shared" si="12"/>
        <v>0.025369978858351017</v>
      </c>
      <c r="H81" s="231">
        <f t="shared" si="12"/>
        <v>0.03239740820734327</v>
      </c>
      <c r="I81" s="231">
        <f t="shared" si="12"/>
        <v>1</v>
      </c>
      <c r="J81" s="231">
        <f t="shared" si="12"/>
        <v>0.03398058252427183</v>
      </c>
      <c r="K81" s="149"/>
      <c r="L81" s="232">
        <f aca="true" t="shared" si="13" ref="L81:L96">(SUM(C81:J81))/COUNT(C81:J81)</f>
        <v>0.16919481431678182</v>
      </c>
      <c r="M81" s="146"/>
    </row>
    <row r="82" spans="1:13" ht="18">
      <c r="A82" s="146"/>
      <c r="B82" s="230">
        <v>2006</v>
      </c>
      <c r="C82" s="199">
        <f aca="true" t="shared" si="14" ref="C82:C87">1-C57/C56</f>
        <v>0.089622641509434</v>
      </c>
      <c r="D82" s="199">
        <f aca="true" t="shared" si="15" ref="D82:H85">1-D57/D56</f>
        <v>0.059701492537313494</v>
      </c>
      <c r="E82" s="199">
        <f t="shared" si="15"/>
        <v>0.0759013282732447</v>
      </c>
      <c r="F82" s="199">
        <f t="shared" si="15"/>
        <v>0.06912442396313356</v>
      </c>
      <c r="G82" s="199">
        <f t="shared" si="15"/>
        <v>0.05639913232104132</v>
      </c>
      <c r="H82" s="199">
        <f t="shared" si="15"/>
        <v>0.04687500000000022</v>
      </c>
      <c r="I82" s="199"/>
      <c r="J82" s="199">
        <f>1-J57/J56</f>
        <v>0.03768844221105527</v>
      </c>
      <c r="K82" s="149"/>
      <c r="L82" s="201">
        <f t="shared" si="13"/>
        <v>0.06218749440217465</v>
      </c>
      <c r="M82" s="146"/>
    </row>
    <row r="83" spans="1:13" ht="18">
      <c r="A83" s="146"/>
      <c r="B83" s="183">
        <v>2005</v>
      </c>
      <c r="C83" s="199">
        <f t="shared" si="14"/>
        <v>0.04663212435233155</v>
      </c>
      <c r="D83" s="199">
        <f t="shared" si="15"/>
        <v>0.03628117913832207</v>
      </c>
      <c r="E83" s="199">
        <f t="shared" si="15"/>
        <v>0.04106776180698157</v>
      </c>
      <c r="F83" s="199">
        <f t="shared" si="15"/>
        <v>0.044554455445544594</v>
      </c>
      <c r="G83" s="199">
        <f t="shared" si="15"/>
        <v>0.029885057471264354</v>
      </c>
      <c r="H83" s="199">
        <f t="shared" si="15"/>
        <v>0.023419203747072515</v>
      </c>
      <c r="I83" s="199"/>
      <c r="J83" s="199">
        <f>1-J58/J57</f>
        <v>0.007832898172323799</v>
      </c>
      <c r="K83" s="200"/>
      <c r="L83" s="201">
        <f t="shared" si="13"/>
        <v>0.03281038287626292</v>
      </c>
      <c r="M83" s="146"/>
    </row>
    <row r="84" spans="1:13" ht="18">
      <c r="A84" s="146"/>
      <c r="B84" s="183">
        <v>2004</v>
      </c>
      <c r="C84" s="199">
        <f t="shared" si="14"/>
        <v>0.05163043478260865</v>
      </c>
      <c r="D84" s="199">
        <f t="shared" si="15"/>
        <v>0.03294117647058814</v>
      </c>
      <c r="E84" s="199">
        <f t="shared" si="15"/>
        <v>0.06423982869379008</v>
      </c>
      <c r="F84" s="199">
        <f t="shared" si="15"/>
        <v>0.04404145077720201</v>
      </c>
      <c r="G84" s="199">
        <f t="shared" si="15"/>
        <v>0.04028436018957349</v>
      </c>
      <c r="H84" s="199">
        <f t="shared" si="15"/>
        <v>0.04796163069544357</v>
      </c>
      <c r="I84" s="199"/>
      <c r="J84" s="202"/>
      <c r="K84" s="200"/>
      <c r="L84" s="201">
        <f t="shared" si="13"/>
        <v>0.04684981360153432</v>
      </c>
      <c r="M84" s="146"/>
    </row>
    <row r="85" spans="1:13" ht="18">
      <c r="A85" s="146"/>
      <c r="B85" s="186">
        <v>2003</v>
      </c>
      <c r="C85" s="199">
        <f t="shared" si="14"/>
        <v>0.07736389684813749</v>
      </c>
      <c r="D85" s="199">
        <f t="shared" si="15"/>
        <v>0.04622871046228716</v>
      </c>
      <c r="E85" s="199">
        <f t="shared" si="15"/>
        <v>0.04576659038901609</v>
      </c>
      <c r="F85" s="199">
        <f t="shared" si="15"/>
        <v>0.054200542005420016</v>
      </c>
      <c r="G85" s="199">
        <f t="shared" si="15"/>
        <v>0.06172839506172845</v>
      </c>
      <c r="H85" s="199">
        <f t="shared" si="15"/>
        <v>0.05037783375314864</v>
      </c>
      <c r="I85" s="199"/>
      <c r="J85" s="203"/>
      <c r="K85" s="200"/>
      <c r="L85" s="204">
        <f t="shared" si="13"/>
        <v>0.055944328086622974</v>
      </c>
      <c r="M85" s="146"/>
    </row>
    <row r="86" spans="1:13" ht="18">
      <c r="A86" s="146"/>
      <c r="B86" s="186">
        <v>2002</v>
      </c>
      <c r="C86" s="199">
        <f t="shared" si="14"/>
        <v>0.02795031055900632</v>
      </c>
      <c r="D86" s="199">
        <f aca="true" t="shared" si="16" ref="D86:G87">1-D61/D60</f>
        <v>0.022959183673469385</v>
      </c>
      <c r="E86" s="199">
        <f t="shared" si="16"/>
        <v>0.0455635491606714</v>
      </c>
      <c r="F86" s="199">
        <f t="shared" si="16"/>
        <v>0.04871060171919783</v>
      </c>
      <c r="G86" s="199">
        <f t="shared" si="16"/>
        <v>0.044736842105263186</v>
      </c>
      <c r="H86" s="205"/>
      <c r="I86" s="205"/>
      <c r="J86" s="203"/>
      <c r="K86" s="200"/>
      <c r="L86" s="204">
        <f t="shared" si="13"/>
        <v>0.037984097443521624</v>
      </c>
      <c r="M86" s="146"/>
    </row>
    <row r="87" spans="1:13" ht="18">
      <c r="A87" s="146"/>
      <c r="B87" s="186">
        <v>2001</v>
      </c>
      <c r="C87" s="199">
        <f t="shared" si="14"/>
        <v>-0.009584664536741228</v>
      </c>
      <c r="D87" s="199">
        <f t="shared" si="16"/>
        <v>-0.02872062663185382</v>
      </c>
      <c r="E87" s="199">
        <f t="shared" si="16"/>
        <v>-0.022613065326633208</v>
      </c>
      <c r="F87" s="199">
        <f t="shared" si="16"/>
        <v>0.02108433734939752</v>
      </c>
      <c r="G87" s="199">
        <f t="shared" si="16"/>
        <v>0.0027548209366390353</v>
      </c>
      <c r="H87" s="205"/>
      <c r="I87" s="205"/>
      <c r="J87" s="203"/>
      <c r="K87" s="200"/>
      <c r="L87" s="204">
        <f t="shared" si="13"/>
        <v>-0.00741583964183834</v>
      </c>
      <c r="M87" s="146"/>
    </row>
    <row r="88" spans="1:13" ht="18">
      <c r="A88" s="146"/>
      <c r="B88" s="186">
        <v>2000</v>
      </c>
      <c r="C88" s="199">
        <v>1E-13</v>
      </c>
      <c r="D88" s="199">
        <f>1-D63/D62</f>
        <v>-0.02030456852791862</v>
      </c>
      <c r="E88" s="205"/>
      <c r="F88" s="199">
        <f>1-F63/F62</f>
        <v>0.021538461538461506</v>
      </c>
      <c r="G88" s="205"/>
      <c r="H88" s="205"/>
      <c r="I88" s="205"/>
      <c r="J88" s="203"/>
      <c r="K88" s="200"/>
      <c r="L88" s="204">
        <f t="shared" si="13"/>
        <v>0.0004112976702142952</v>
      </c>
      <c r="M88" s="146"/>
    </row>
    <row r="89" spans="1:13" ht="18">
      <c r="A89" s="146"/>
      <c r="B89" s="186">
        <v>1999</v>
      </c>
      <c r="C89" s="199">
        <f aca="true" t="shared" si="17" ref="C89:C96">1-C64/C63</f>
        <v>-0.0031645569620253333</v>
      </c>
      <c r="D89" s="199">
        <f>1-D64/D63</f>
        <v>0.01990049751243772</v>
      </c>
      <c r="E89" s="205"/>
      <c r="F89" s="199">
        <f>1-F64/F63</f>
        <v>-0.0062893081761006275</v>
      </c>
      <c r="G89" s="205"/>
      <c r="H89" s="205"/>
      <c r="I89" s="205"/>
      <c r="J89" s="203"/>
      <c r="K89" s="200"/>
      <c r="L89" s="204">
        <f t="shared" si="13"/>
        <v>0.0034822107914372533</v>
      </c>
      <c r="M89" s="146"/>
    </row>
    <row r="90" spans="1:13" ht="18">
      <c r="A90" s="146"/>
      <c r="B90" s="186">
        <v>1998</v>
      </c>
      <c r="C90" s="199">
        <f t="shared" si="17"/>
        <v>0.009463722397476282</v>
      </c>
      <c r="D90" s="199">
        <f>1-D65/D64</f>
        <v>0.025380710659898553</v>
      </c>
      <c r="E90" s="205"/>
      <c r="F90" s="199">
        <f>1-F65/F64</f>
        <v>0.012499999999999956</v>
      </c>
      <c r="G90" s="205"/>
      <c r="H90" s="205"/>
      <c r="I90" s="205"/>
      <c r="J90" s="203"/>
      <c r="K90" s="200"/>
      <c r="L90" s="204">
        <f t="shared" si="13"/>
        <v>0.015781477685791596</v>
      </c>
      <c r="M90" s="146"/>
    </row>
    <row r="91" spans="1:13" ht="18">
      <c r="A91" s="146"/>
      <c r="B91" s="186">
        <v>1997</v>
      </c>
      <c r="C91" s="199">
        <f t="shared" si="17"/>
        <v>0.047770700636942665</v>
      </c>
      <c r="D91" s="199">
        <f>1-D66/D65</f>
        <v>0.03645833333333326</v>
      </c>
      <c r="E91" s="205"/>
      <c r="F91" s="205">
        <v>0</v>
      </c>
      <c r="G91" s="205"/>
      <c r="H91" s="205"/>
      <c r="I91" s="205"/>
      <c r="J91" s="203"/>
      <c r="K91" s="200"/>
      <c r="L91" s="204">
        <f t="shared" si="13"/>
        <v>0.02807634465675864</v>
      </c>
      <c r="M91" s="146"/>
    </row>
    <row r="92" spans="1:13" ht="18">
      <c r="A92" s="146"/>
      <c r="B92" s="186">
        <v>1996</v>
      </c>
      <c r="C92" s="199">
        <f t="shared" si="17"/>
        <v>0.050167224080267636</v>
      </c>
      <c r="D92" s="205"/>
      <c r="E92" s="205"/>
      <c r="F92" s="205"/>
      <c r="G92" s="205"/>
      <c r="H92" s="205"/>
      <c r="I92" s="205"/>
      <c r="J92" s="203"/>
      <c r="K92" s="200"/>
      <c r="L92" s="204">
        <f t="shared" si="13"/>
        <v>0.050167224080267636</v>
      </c>
      <c r="M92" s="146"/>
    </row>
    <row r="93" spans="1:13" ht="18">
      <c r="A93" s="146"/>
      <c r="B93" s="186">
        <v>1995</v>
      </c>
      <c r="C93" s="199">
        <f t="shared" si="17"/>
        <v>0.04929577464788726</v>
      </c>
      <c r="D93" s="205"/>
      <c r="E93" s="205"/>
      <c r="F93" s="205"/>
      <c r="G93" s="205"/>
      <c r="H93" s="205"/>
      <c r="I93" s="205"/>
      <c r="J93" s="203"/>
      <c r="K93" s="200"/>
      <c r="L93" s="204">
        <f t="shared" si="13"/>
        <v>0.04929577464788726</v>
      </c>
      <c r="M93" s="146"/>
    </row>
    <row r="94" spans="1:13" ht="18">
      <c r="A94" s="146"/>
      <c r="B94" s="186">
        <v>1994</v>
      </c>
      <c r="C94" s="199">
        <f t="shared" si="17"/>
        <v>0.02592592592592602</v>
      </c>
      <c r="D94" s="205"/>
      <c r="E94" s="205"/>
      <c r="F94" s="205"/>
      <c r="G94" s="205"/>
      <c r="H94" s="205"/>
      <c r="I94" s="205"/>
      <c r="J94" s="203"/>
      <c r="K94" s="200"/>
      <c r="L94" s="204">
        <f t="shared" si="13"/>
        <v>0.02592592592592602</v>
      </c>
      <c r="M94" s="146"/>
    </row>
    <row r="95" spans="1:13" ht="18">
      <c r="A95" s="146"/>
      <c r="B95" s="186">
        <v>1993</v>
      </c>
      <c r="C95" s="199">
        <f t="shared" si="17"/>
        <v>0.026615969581748944</v>
      </c>
      <c r="D95" s="205"/>
      <c r="E95" s="205"/>
      <c r="F95" s="205"/>
      <c r="G95" s="205"/>
      <c r="H95" s="205"/>
      <c r="I95" s="205"/>
      <c r="J95" s="203"/>
      <c r="K95" s="200"/>
      <c r="L95" s="204">
        <f t="shared" si="13"/>
        <v>0.026615969581748944</v>
      </c>
      <c r="M95" s="146"/>
    </row>
    <row r="96" spans="1:13" ht="18.75" thickBot="1">
      <c r="A96" s="146"/>
      <c r="B96" s="189">
        <v>1992</v>
      </c>
      <c r="C96" s="199">
        <f t="shared" si="17"/>
        <v>0.01953125000000011</v>
      </c>
      <c r="D96" s="206"/>
      <c r="E96" s="206"/>
      <c r="F96" s="206"/>
      <c r="G96" s="206"/>
      <c r="H96" s="206"/>
      <c r="I96" s="206"/>
      <c r="J96" s="207"/>
      <c r="K96" s="200"/>
      <c r="L96" s="208">
        <f t="shared" si="13"/>
        <v>0.01953125000000011</v>
      </c>
      <c r="M96" s="146"/>
    </row>
    <row r="97" spans="1:13" ht="18">
      <c r="A97" s="146"/>
      <c r="B97" s="209" t="s">
        <v>77</v>
      </c>
      <c r="C97" s="210">
        <f>AVERAGE(C82:C96)</f>
        <v>0.03394805025487336</v>
      </c>
      <c r="D97" s="210">
        <f aca="true" t="shared" si="18" ref="D97:J97">AVERAGE(D81:D96)</f>
        <v>0.02398325266813879</v>
      </c>
      <c r="E97" s="210">
        <f t="shared" si="18"/>
        <v>0.044838450661596245</v>
      </c>
      <c r="F97" s="210">
        <f t="shared" si="18"/>
        <v>0.039816274622468735</v>
      </c>
      <c r="G97" s="210">
        <f t="shared" si="18"/>
        <v>0.037308369563408696</v>
      </c>
      <c r="H97" s="210">
        <f t="shared" si="18"/>
        <v>0.04020621528060164</v>
      </c>
      <c r="I97" s="210">
        <f t="shared" si="18"/>
        <v>1</v>
      </c>
      <c r="J97" s="210">
        <f t="shared" si="18"/>
        <v>0.026500640969216966</v>
      </c>
      <c r="K97" s="200"/>
      <c r="L97" s="210">
        <f>AVERAGE(L81:L96)</f>
        <v>0.03855266038281823</v>
      </c>
      <c r="M97" s="146"/>
    </row>
    <row r="98" spans="1:13" ht="18.75" thickBot="1">
      <c r="A98" s="146"/>
      <c r="B98" s="211" t="s">
        <v>73</v>
      </c>
      <c r="C98" s="212">
        <f>MEDIAN(C83:C96)</f>
        <v>0.02728314007037763</v>
      </c>
      <c r="D98" s="212">
        <f aca="true" t="shared" si="19" ref="D98:J98">MEDIAN(D81:D96)</f>
        <v>0.03294117647058814</v>
      </c>
      <c r="E98" s="212">
        <f t="shared" si="19"/>
        <v>0.04576659038901609</v>
      </c>
      <c r="F98" s="212">
        <f t="shared" si="19"/>
        <v>0.04404145077720201</v>
      </c>
      <c r="G98" s="212">
        <f t="shared" si="19"/>
        <v>0.04028436018957349</v>
      </c>
      <c r="H98" s="212">
        <f t="shared" si="19"/>
        <v>0.04687500000000022</v>
      </c>
      <c r="I98" s="212">
        <f t="shared" si="19"/>
        <v>1</v>
      </c>
      <c r="J98" s="212">
        <f t="shared" si="19"/>
        <v>0.03398058252427183</v>
      </c>
      <c r="K98" s="200"/>
      <c r="L98" s="212">
        <f>MEDIAN(L81:L96)</f>
        <v>0.03044336376651078</v>
      </c>
      <c r="M98" s="146"/>
    </row>
  </sheetData>
  <sheetProtection password="DB75" sheet="1" objects="1" scenarios="1"/>
  <mergeCells count="8">
    <mergeCell ref="B35:L35"/>
    <mergeCell ref="B51:J51"/>
    <mergeCell ref="B77:J77"/>
    <mergeCell ref="B1:L1"/>
    <mergeCell ref="B4:L4"/>
    <mergeCell ref="B2:L2"/>
    <mergeCell ref="B3:L3"/>
    <mergeCell ref="B32:H32"/>
  </mergeCells>
  <printOptions horizontalCentered="1"/>
  <pageMargins left="0.25" right="0.25" top="0.5" bottom="0.25" header="0.5" footer="0.5"/>
  <pageSetup fitToHeight="1" fitToWidth="1" orientation="portrait" scale="38" r:id="rId1"/>
  <ignoredErrors>
    <ignoredError sqref="L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Amortization</dc:title>
  <dc:subject>Loan Payment &amp; Loan Amortization</dc:subject>
  <dc:creator>TheRustyScupper@yahoo.com</dc:creator>
  <cp:keywords/>
  <dc:description/>
  <cp:lastModifiedBy>Joe Sandor</cp:lastModifiedBy>
  <cp:lastPrinted>2005-04-21T16:58:40Z</cp:lastPrinted>
  <dcterms:created xsi:type="dcterms:W3CDTF">2002-04-30T17:36:54Z</dcterms:created>
  <dcterms:modified xsi:type="dcterms:W3CDTF">2008-03-14T03:21:14Z</dcterms:modified>
  <cp:category/>
  <cp:version/>
  <cp:contentType/>
  <cp:contentStatus/>
</cp:coreProperties>
</file>